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0" windowWidth="22035" windowHeight="9540"/>
  </bookViews>
  <sheets>
    <sheet name="2013-tal" sheetId="7" r:id="rId1"/>
    <sheet name=" 2011-tal" sheetId="1" r:id="rId2"/>
    <sheet name="dybstrøelse sengebås (2)" sheetId="5" state="hidden" r:id="rId3"/>
    <sheet name="Ark1" sheetId="4" state="hidden" r:id="rId4"/>
    <sheet name="Ark2" sheetId="2" state="hidden" r:id="rId5"/>
    <sheet name="Ark3" sheetId="3" state="hidden" r:id="rId6"/>
  </sheets>
  <calcPr calcId="145621"/>
</workbook>
</file>

<file path=xl/calcChain.xml><?xml version="1.0" encoding="utf-8"?>
<calcChain xmlns="http://schemas.openxmlformats.org/spreadsheetml/2006/main">
  <c r="B31" i="7" l="1"/>
  <c r="AM210" i="7" l="1"/>
  <c r="AO210" i="7"/>
  <c r="AM209" i="7"/>
  <c r="AO209" i="7" s="1"/>
  <c r="AO211" i="7" s="1"/>
  <c r="B34" i="7"/>
  <c r="B32" i="7"/>
  <c r="C36" i="7"/>
  <c r="B35" i="7"/>
  <c r="B22" i="7"/>
  <c r="C21" i="7"/>
  <c r="B21" i="7"/>
  <c r="C17" i="7"/>
  <c r="C46" i="7" s="1"/>
  <c r="B17" i="7"/>
  <c r="B46" i="7" s="1"/>
  <c r="C15" i="7"/>
  <c r="C23" i="7" s="1"/>
  <c r="B15" i="7"/>
  <c r="B23" i="7" s="1"/>
  <c r="C14" i="7"/>
  <c r="C22" i="7" s="1"/>
  <c r="C11" i="7"/>
  <c r="C10" i="7" s="1"/>
  <c r="C18" i="7" s="1"/>
  <c r="B11" i="7"/>
  <c r="B19" i="7" s="1"/>
  <c r="H3" i="7"/>
  <c r="G3" i="7"/>
  <c r="B35" i="1"/>
  <c r="B10" i="7" l="1"/>
  <c r="B18" i="7" s="1"/>
  <c r="B20" i="7" s="1"/>
  <c r="B26" i="7" s="1"/>
  <c r="B25" i="7" s="1"/>
  <c r="B33" i="7"/>
  <c r="B36" i="7" s="1"/>
  <c r="C19" i="7"/>
  <c r="C20" i="7" s="1"/>
  <c r="C26" i="7" l="1"/>
  <c r="D26" i="7" s="1"/>
  <c r="B40" i="7"/>
  <c r="B42" i="7" s="1"/>
  <c r="B47" i="7"/>
  <c r="B49" i="7" s="1"/>
  <c r="C40" i="7" l="1"/>
  <c r="C42" i="7" s="1"/>
  <c r="C47" i="7"/>
  <c r="C49" i="7" s="1"/>
  <c r="C25" i="7"/>
  <c r="B21" i="1" l="1"/>
  <c r="B15" i="1"/>
  <c r="C36" i="1" l="1"/>
  <c r="H3" i="1" l="1"/>
  <c r="G3" i="1"/>
  <c r="C21" i="1"/>
  <c r="B22" i="1" l="1"/>
  <c r="C33" i="5" l="1"/>
  <c r="B33" i="5"/>
  <c r="C29" i="5"/>
  <c r="B29" i="5"/>
  <c r="B22" i="5"/>
  <c r="C21" i="5"/>
  <c r="B21" i="5"/>
  <c r="C17" i="5"/>
  <c r="B17" i="5"/>
  <c r="C15" i="5"/>
  <c r="C23" i="5" s="1"/>
  <c r="B15" i="5"/>
  <c r="B23" i="5" s="1"/>
  <c r="C13" i="5"/>
  <c r="C22" i="5" s="1"/>
  <c r="C10" i="5"/>
  <c r="C9" i="5" s="1"/>
  <c r="C18" i="5" s="1"/>
  <c r="B10" i="5"/>
  <c r="B9" i="5" s="1"/>
  <c r="B18" i="5" s="1"/>
  <c r="G2" i="5"/>
  <c r="G1" i="5"/>
  <c r="C14" i="1"/>
  <c r="C22" i="1" s="1"/>
  <c r="G3" i="5" l="1"/>
  <c r="B31" i="5"/>
  <c r="C31" i="5"/>
  <c r="B19" i="5"/>
  <c r="B20" i="5" s="1"/>
  <c r="B26" i="5" s="1"/>
  <c r="C19" i="5"/>
  <c r="C20" i="5" s="1"/>
  <c r="C26" i="5" s="1"/>
  <c r="C11" i="1"/>
  <c r="C10" i="1" s="1"/>
  <c r="C18" i="1" s="1"/>
  <c r="B11" i="1"/>
  <c r="B10" i="1" s="1"/>
  <c r="B18" i="1" s="1"/>
  <c r="C25" i="5" l="1"/>
  <c r="C35" i="5"/>
  <c r="C27" i="5" s="1"/>
  <c r="B35" i="5"/>
  <c r="B27" i="5" s="1"/>
  <c r="D26" i="5"/>
  <c r="B25" i="5"/>
  <c r="C19" i="1"/>
  <c r="C20" i="1" s="1"/>
  <c r="B19" i="1"/>
  <c r="B20" i="1" s="1"/>
  <c r="C17" i="1" l="1"/>
  <c r="C46" i="1" s="1"/>
  <c r="B17" i="1"/>
  <c r="B46" i="1" s="1"/>
  <c r="C15" i="1"/>
  <c r="C23" i="1" s="1"/>
  <c r="B23" i="1"/>
  <c r="B26" i="1" s="1"/>
  <c r="B33" i="1" l="1"/>
  <c r="B40" i="1" s="1"/>
  <c r="B25" i="1"/>
  <c r="B47" i="1"/>
  <c r="B49" i="1" s="1"/>
  <c r="C26" i="1"/>
  <c r="B36" i="1" l="1"/>
  <c r="C47" i="1"/>
  <c r="C49" i="1" s="1"/>
  <c r="C25" i="1"/>
  <c r="C40" i="1"/>
  <c r="C42" i="1" s="1"/>
  <c r="D26" i="1"/>
  <c r="B42" i="1"/>
</calcChain>
</file>

<file path=xl/sharedStrings.xml><?xml version="1.0" encoding="utf-8"?>
<sst xmlns="http://schemas.openxmlformats.org/spreadsheetml/2006/main" count="152" uniqueCount="75">
  <si>
    <t>Sengebås</t>
  </si>
  <si>
    <t xml:space="preserve">per staldplads </t>
  </si>
  <si>
    <t>Rente</t>
  </si>
  <si>
    <t>Samlet halmpris pr kg</t>
  </si>
  <si>
    <t>Antal dyr</t>
  </si>
  <si>
    <t>timeløn</t>
  </si>
  <si>
    <t xml:space="preserve">Kapitalomkostninger, strømaskiner </t>
  </si>
  <si>
    <t>dage år</t>
  </si>
  <si>
    <t>Lønomkostninger</t>
  </si>
  <si>
    <t>I alt</t>
  </si>
  <si>
    <t>Årlige omkostninger per staldplads</t>
  </si>
  <si>
    <t>Dybststørelse</t>
  </si>
  <si>
    <t xml:space="preserve">Timeforbrug strøgning pr dyr, timer </t>
  </si>
  <si>
    <t xml:space="preserve">Strømaskiner,  </t>
  </si>
  <si>
    <t xml:space="preserve">Energi </t>
  </si>
  <si>
    <t>Vedligehold</t>
  </si>
  <si>
    <t>Øvrig løn</t>
  </si>
  <si>
    <t>Øvrige kapacitetsomkostninger</t>
  </si>
  <si>
    <t>gennemsnit fra BC slagtekalve</t>
  </si>
  <si>
    <t xml:space="preserve">Krav til DB (korr. For halm) </t>
  </si>
  <si>
    <t>Øvrige kapitalomkosninger</t>
  </si>
  <si>
    <t>Gennemsnit DB (BC slagtekalve)</t>
  </si>
  <si>
    <t xml:space="preserve">Omkostninger, der er uafhængige af staldanlæget </t>
  </si>
  <si>
    <t>Andel faste</t>
  </si>
  <si>
    <t xml:space="preserve">Timeforbug strøgning pr dag </t>
  </si>
  <si>
    <t>Investering inventar</t>
  </si>
  <si>
    <t>Levetid, inventar</t>
  </si>
  <si>
    <t>Levetid, bygninger</t>
  </si>
  <si>
    <t>Inventar andel</t>
  </si>
  <si>
    <t xml:space="preserve">Investering, total </t>
  </si>
  <si>
    <t>Investering bygninger</t>
  </si>
  <si>
    <t>Kapitalomkostninger, inventar</t>
  </si>
  <si>
    <t>Kapitalomkostninger, bygninger</t>
  </si>
  <si>
    <t>Kapitalomkostninger, staldanlæg</t>
  </si>
  <si>
    <t>Dagligt forbrug af halm, kg pr. dyr</t>
  </si>
  <si>
    <t xml:space="preserve">Halmomkostninger </t>
  </si>
  <si>
    <t xml:space="preserve">Staldafhængige omkostningsandel </t>
  </si>
  <si>
    <t>Øvrige staldspecifikke omkostninger</t>
  </si>
  <si>
    <t>Timeløn</t>
  </si>
  <si>
    <t>Dage år</t>
  </si>
  <si>
    <t>Levetid, strømaskiner</t>
  </si>
  <si>
    <t>I alt (Staldspecifikke omkostninger)</t>
  </si>
  <si>
    <t>Antal staldpladser</t>
  </si>
  <si>
    <t>Strømaskiner</t>
  </si>
  <si>
    <t>Dagligt forbrug af halm, kg</t>
  </si>
  <si>
    <t>Timeforbrug strøgning pr staldplads</t>
  </si>
  <si>
    <t>BC slagtekalve</t>
  </si>
  <si>
    <t>Egne tal</t>
  </si>
  <si>
    <t>Krav til DB (korr. For halm), BC slagtekalve</t>
  </si>
  <si>
    <t xml:space="preserve">grundforudsætninger </t>
  </si>
  <si>
    <t xml:space="preserve"> heraf, bygninger</t>
  </si>
  <si>
    <t xml:space="preserve"> heraf, inventar</t>
  </si>
  <si>
    <t>Overskud</t>
  </si>
  <si>
    <t>Gnst. DB fra Business Check Slagtekalve.</t>
  </si>
  <si>
    <t>Øvrig løn (til både ansatte og ejer)</t>
  </si>
  <si>
    <t xml:space="preserve">Omkostninger, der er uafhængige af staldanlægget </t>
  </si>
  <si>
    <t>Øvrige kapitalomkostninger</t>
  </si>
  <si>
    <t>Business Check Slagtekalve</t>
  </si>
  <si>
    <t>Dybstørelse</t>
  </si>
  <si>
    <t>Krav til DB (korr. For halm), egne tal</t>
  </si>
  <si>
    <t>Indsæt egne forudsætninger i de grønne felter</t>
  </si>
  <si>
    <t xml:space="preserve">Timeforbrug strøgning pr dag, total </t>
  </si>
  <si>
    <t>Forventet DB (korr. for halm)</t>
  </si>
  <si>
    <t>Total stalduafhængige omkostninger</t>
  </si>
  <si>
    <t>Andel faste staldomkostninger</t>
  </si>
  <si>
    <t>x</t>
  </si>
  <si>
    <t>*BC tallene er sammenvægtet tal for Dansk Kalv og ungtyre</t>
  </si>
  <si>
    <t xml:space="preserve">*BC tallene er sammenvægtet tal for Dansk Kalv og ungtyre fremskrivning ud fra forventet prisudvikling </t>
  </si>
  <si>
    <t xml:space="preserve">Gnst. DB fra budgetkalkulerne </t>
  </si>
  <si>
    <t>DB pr. produceret kalv</t>
  </si>
  <si>
    <t>prod kalv pr. staldplads</t>
  </si>
  <si>
    <t>DB prstaldplade</t>
  </si>
  <si>
    <t>dansk kalv</t>
  </si>
  <si>
    <t>ungtyre</t>
  </si>
  <si>
    <t>gennemsnit DB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</si>
</sst>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kr.&quot;\ #,##0;[Red]&quot;kr.&quot;\ \-#,##0"/>
    <numFmt numFmtId="8" formatCode="&quot;kr.&quot;\ #,##0.00;[Red]&quot;kr.&quot;\ \-#,##0.00"/>
    <numFmt numFmtId="44" formatCode="_ &quot;kr.&quot;\ * #,##0.00_ ;_ &quot;kr.&quot;\ * \-#,##0.00_ ;_ &quot;kr.&quot;\ * &quot;-&quot;??_ ;_ @_ "/>
    <numFmt numFmtId="43" formatCode="_ * #,##0.00_ ;_ * \-#,##0.00_ ;_ * &quot;-&quot;??_ ;_ @_ "/>
    <numFmt numFmtId="164" formatCode="_ * #,##0_ ;_ * \-#,##0_ ;_ * &quot;-&quot;??_ ;_ @_ "/>
    <numFmt numFmtId="165" formatCode="0.000"/>
    <numFmt numFmtId="166" formatCode="_ &quot;kr.&quot;\ * #,##0_ ;_ &quot;kr.&quot;\ * \-#,##0_ ;_ &quot;kr.&quot;\ * &quot;-&quot;??_ ;_ @_ "/>
    <numFmt numFmtId="167" formatCode="0.00000"/>
    <numFmt numFmtId="168" formatCode="_ * #,##0.0_ ;_ * \-#,##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1"/>
      <name val="Calibri"/>
      <family val="2"/>
      <scheme val="minor"/>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164" fontId="0" fillId="0" borderId="0" xfId="1" applyNumberFormat="1" applyFont="1"/>
    <xf numFmtId="9" fontId="0" fillId="0" borderId="0" xfId="3" applyFont="1"/>
    <xf numFmtId="165" fontId="0" fillId="0" borderId="0" xfId="0" applyNumberFormat="1"/>
    <xf numFmtId="1" fontId="0" fillId="0" borderId="0" xfId="0" applyNumberFormat="1"/>
    <xf numFmtId="6" fontId="0" fillId="0" borderId="0" xfId="0" applyNumberFormat="1"/>
    <xf numFmtId="166" fontId="0" fillId="0" borderId="0" xfId="2" applyNumberFormat="1" applyFont="1"/>
    <xf numFmtId="166" fontId="0" fillId="0" borderId="0" xfId="0" applyNumberFormat="1"/>
    <xf numFmtId="164" fontId="0" fillId="0" borderId="0" xfId="0" applyNumberForma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6" xfId="0" applyFont="1" applyBorder="1"/>
    <xf numFmtId="0" fontId="2" fillId="0" borderId="7" xfId="0" applyFont="1" applyBorder="1"/>
    <xf numFmtId="0" fontId="0" fillId="0" borderId="7" xfId="0" applyBorder="1"/>
    <xf numFmtId="0" fontId="0" fillId="0" borderId="8" xfId="0" applyBorder="1"/>
    <xf numFmtId="6" fontId="2" fillId="0" borderId="0" xfId="0" applyNumberFormat="1" applyFont="1" applyBorder="1"/>
    <xf numFmtId="6" fontId="2" fillId="0" borderId="0" xfId="0" applyNumberFormat="1" applyFont="1"/>
    <xf numFmtId="166" fontId="0" fillId="0" borderId="2" xfId="2" applyNumberFormat="1" applyFont="1" applyBorder="1"/>
    <xf numFmtId="166" fontId="0" fillId="0" borderId="0" xfId="2" applyNumberFormat="1" applyFont="1" applyBorder="1"/>
    <xf numFmtId="9" fontId="2" fillId="0" borderId="0" xfId="3" applyFont="1"/>
    <xf numFmtId="6" fontId="0" fillId="0" borderId="0" xfId="0" applyNumberFormat="1" applyAlignment="1">
      <alignment horizontal="right"/>
    </xf>
    <xf numFmtId="0" fontId="0" fillId="0" borderId="0" xfId="0" applyAlignment="1">
      <alignment horizontal="center"/>
    </xf>
    <xf numFmtId="44" fontId="0" fillId="0" borderId="0" xfId="0" applyNumberFormat="1"/>
    <xf numFmtId="167" fontId="0" fillId="0" borderId="0" xfId="0" applyNumberFormat="1"/>
    <xf numFmtId="0" fontId="0" fillId="2" borderId="0" xfId="0" applyFont="1" applyFill="1"/>
    <xf numFmtId="9" fontId="0" fillId="2" borderId="0" xfId="3" applyFont="1" applyFill="1"/>
    <xf numFmtId="164" fontId="0" fillId="2" borderId="0" xfId="0" applyNumberFormat="1" applyFont="1" applyFill="1"/>
    <xf numFmtId="6" fontId="0" fillId="2" borderId="0" xfId="0" applyNumberFormat="1" applyFont="1" applyFill="1"/>
    <xf numFmtId="166" fontId="0" fillId="2" borderId="0" xfId="0" applyNumberFormat="1" applyFont="1" applyFill="1"/>
    <xf numFmtId="0" fontId="2" fillId="2" borderId="0" xfId="0" applyFont="1" applyFill="1"/>
    <xf numFmtId="6" fontId="2" fillId="2" borderId="0" xfId="0" applyNumberFormat="1" applyFont="1" applyFill="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6" fontId="2" fillId="2" borderId="0" xfId="0" applyNumberFormat="1" applyFont="1" applyFill="1" applyBorder="1"/>
    <xf numFmtId="0" fontId="2" fillId="2" borderId="6" xfId="0" applyFont="1" applyFill="1" applyBorder="1"/>
    <xf numFmtId="0" fontId="0" fillId="2" borderId="7" xfId="0" applyFont="1" applyFill="1" applyBorder="1"/>
    <xf numFmtId="0" fontId="0" fillId="2" borderId="8" xfId="0" applyFont="1" applyFill="1" applyBorder="1"/>
    <xf numFmtId="0" fontId="0" fillId="3" borderId="0" xfId="0" applyFont="1" applyFill="1" applyBorder="1"/>
    <xf numFmtId="0" fontId="0" fillId="3" borderId="5" xfId="0" applyFont="1" applyFill="1" applyBorder="1"/>
    <xf numFmtId="9" fontId="0" fillId="3" borderId="0" xfId="3" applyFont="1" applyFill="1" applyBorder="1"/>
    <xf numFmtId="1" fontId="0" fillId="3" borderId="0" xfId="0" applyNumberFormat="1" applyFont="1" applyFill="1" applyBorder="1"/>
    <xf numFmtId="166" fontId="0" fillId="3" borderId="0" xfId="2" applyNumberFormat="1" applyFont="1" applyFill="1" applyBorder="1"/>
    <xf numFmtId="0" fontId="0" fillId="2" borderId="6" xfId="0" applyFont="1" applyFill="1" applyBorder="1"/>
    <xf numFmtId="0" fontId="2" fillId="2" borderId="1" xfId="0" applyFont="1" applyFill="1" applyBorder="1"/>
    <xf numFmtId="0" fontId="2" fillId="2" borderId="4" xfId="0" applyFont="1" applyFill="1" applyBorder="1"/>
    <xf numFmtId="0" fontId="0" fillId="3" borderId="0" xfId="0" applyFont="1" applyFill="1" applyBorder="1" applyAlignment="1">
      <alignment horizontal="center"/>
    </xf>
    <xf numFmtId="0" fontId="2" fillId="2" borderId="0" xfId="0" applyFont="1" applyFill="1" applyBorder="1"/>
    <xf numFmtId="0" fontId="3" fillId="2" borderId="0" xfId="0" applyFont="1" applyFill="1"/>
    <xf numFmtId="6" fontId="0" fillId="2" borderId="0" xfId="0" applyNumberFormat="1" applyFont="1" applyFill="1" applyBorder="1"/>
    <xf numFmtId="6" fontId="0" fillId="2" borderId="7" xfId="0" applyNumberFormat="1" applyFont="1" applyFill="1" applyBorder="1"/>
    <xf numFmtId="0" fontId="2" fillId="2" borderId="10" xfId="0" applyFont="1" applyFill="1" applyBorder="1"/>
    <xf numFmtId="0" fontId="2" fillId="3" borderId="11" xfId="0" applyFont="1" applyFill="1" applyBorder="1" applyAlignment="1">
      <alignment horizontal="center"/>
    </xf>
    <xf numFmtId="6" fontId="0" fillId="3" borderId="13" xfId="0" applyNumberFormat="1" applyFont="1" applyFill="1" applyBorder="1" applyAlignment="1">
      <alignment horizontal="right"/>
    </xf>
    <xf numFmtId="6" fontId="0" fillId="3" borderId="13" xfId="0" applyNumberFormat="1" applyFont="1" applyFill="1" applyBorder="1"/>
    <xf numFmtId="164" fontId="0" fillId="3" borderId="13" xfId="1" applyNumberFormat="1" applyFont="1" applyFill="1" applyBorder="1" applyAlignment="1">
      <alignment horizontal="right"/>
    </xf>
    <xf numFmtId="8" fontId="0" fillId="3" borderId="13" xfId="0" applyNumberFormat="1" applyFont="1" applyFill="1" applyBorder="1"/>
    <xf numFmtId="167" fontId="0" fillId="2" borderId="13" xfId="0" applyNumberFormat="1" applyFont="1" applyFill="1" applyBorder="1"/>
    <xf numFmtId="0" fontId="2" fillId="2" borderId="9" xfId="0" applyFont="1" applyFill="1" applyBorder="1" applyAlignment="1">
      <alignment horizontal="center"/>
    </xf>
    <xf numFmtId="6" fontId="0" fillId="2" borderId="13" xfId="0" applyNumberFormat="1" applyFont="1" applyFill="1" applyBorder="1" applyAlignment="1">
      <alignment horizontal="right"/>
    </xf>
    <xf numFmtId="6" fontId="0" fillId="2" borderId="13" xfId="0" applyNumberFormat="1" applyFont="1" applyFill="1" applyBorder="1"/>
    <xf numFmtId="6" fontId="2" fillId="2" borderId="14" xfId="0" applyNumberFormat="1" applyFont="1" applyFill="1" applyBorder="1"/>
    <xf numFmtId="168" fontId="0" fillId="3" borderId="13" xfId="1" applyNumberFormat="1" applyFont="1" applyFill="1" applyBorder="1" applyAlignment="1">
      <alignment horizontal="right"/>
    </xf>
    <xf numFmtId="165" fontId="2" fillId="2" borderId="12" xfId="0" applyNumberFormat="1" applyFont="1" applyFill="1" applyBorder="1"/>
    <xf numFmtId="0" fontId="2" fillId="2" borderId="12" xfId="0" applyFont="1" applyFill="1" applyBorder="1"/>
    <xf numFmtId="0" fontId="2" fillId="2" borderId="11" xfId="0" applyFont="1" applyFill="1" applyBorder="1"/>
    <xf numFmtId="6" fontId="0" fillId="2" borderId="5" xfId="0" applyNumberFormat="1" applyFont="1" applyFill="1" applyBorder="1"/>
    <xf numFmtId="43" fontId="0" fillId="2" borderId="0" xfId="1" applyFont="1" applyFill="1" applyBorder="1"/>
    <xf numFmtId="43" fontId="0" fillId="2" borderId="0" xfId="0" applyNumberFormat="1" applyFont="1" applyFill="1"/>
    <xf numFmtId="6" fontId="2" fillId="2" borderId="5" xfId="0" applyNumberFormat="1" applyFont="1" applyFill="1" applyBorder="1"/>
    <xf numFmtId="6" fontId="0" fillId="2" borderId="8" xfId="0" applyNumberFormat="1" applyFont="1" applyFill="1" applyBorder="1"/>
    <xf numFmtId="0" fontId="0" fillId="2" borderId="3" xfId="0" applyFont="1" applyFill="1" applyBorder="1" applyAlignment="1">
      <alignment horizontal="center"/>
    </xf>
    <xf numFmtId="0" fontId="4" fillId="2" borderId="2" xfId="0" applyFont="1" applyFill="1" applyBorder="1"/>
    <xf numFmtId="0" fontId="4" fillId="2" borderId="3" xfId="0" applyFont="1" applyFill="1" applyBorder="1"/>
    <xf numFmtId="6" fontId="2" fillId="2" borderId="7" xfId="0" applyNumberFormat="1" applyFont="1" applyFill="1" applyBorder="1"/>
    <xf numFmtId="6" fontId="2" fillId="2" borderId="8" xfId="0" applyNumberFormat="1" applyFont="1" applyFill="1" applyBorder="1"/>
    <xf numFmtId="6" fontId="0" fillId="2" borderId="12" xfId="0" applyNumberFormat="1" applyFont="1" applyFill="1" applyBorder="1"/>
    <xf numFmtId="6" fontId="0" fillId="3" borderId="12" xfId="0" applyNumberFormat="1" applyFont="1" applyFill="1" applyBorder="1"/>
    <xf numFmtId="0" fontId="2" fillId="2" borderId="8" xfId="0" applyFont="1" applyFill="1" applyBorder="1"/>
    <xf numFmtId="6" fontId="2" fillId="3" borderId="14" xfId="0" applyNumberFormat="1" applyFont="1" applyFill="1" applyBorder="1"/>
    <xf numFmtId="9" fontId="0" fillId="2" borderId="4" xfId="3" applyFont="1" applyFill="1" applyBorder="1"/>
    <xf numFmtId="6" fontId="2" fillId="2" borderId="6" xfId="0" applyNumberFormat="1" applyFont="1" applyFill="1" applyBorder="1"/>
    <xf numFmtId="9" fontId="0" fillId="2" borderId="0" xfId="3" applyFont="1" applyFill="1" applyBorder="1"/>
    <xf numFmtId="0" fontId="2" fillId="2" borderId="0" xfId="0" applyFont="1" applyFill="1" applyBorder="1" applyAlignment="1">
      <alignment horizontal="center"/>
    </xf>
    <xf numFmtId="0" fontId="2" fillId="2" borderId="5" xfId="0" applyFont="1" applyFill="1" applyBorder="1" applyAlignment="1">
      <alignment horizontal="center"/>
    </xf>
    <xf numFmtId="0" fontId="6" fillId="2" borderId="0" xfId="0" applyFont="1" applyFill="1" applyBorder="1"/>
    <xf numFmtId="0" fontId="6" fillId="2" borderId="0" xfId="0" applyFont="1" applyFill="1" applyAlignment="1">
      <alignment horizontal="justify" vertical="justify"/>
    </xf>
    <xf numFmtId="0" fontId="6" fillId="2" borderId="0" xfId="0" applyFont="1" applyFill="1"/>
    <xf numFmtId="2" fontId="6" fillId="2" borderId="0" xfId="0" applyNumberFormat="1"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5" fillId="2" borderId="15" xfId="0" applyFont="1" applyFill="1" applyBorder="1" applyAlignment="1">
      <alignment horizontal="center"/>
    </xf>
    <xf numFmtId="0" fontId="5" fillId="2" borderId="11" xfId="0" applyFont="1" applyFill="1" applyBorder="1" applyAlignment="1">
      <alignment horizontal="center"/>
    </xf>
    <xf numFmtId="0" fontId="0" fillId="0" borderId="0" xfId="0" applyAlignment="1">
      <alignment horizontal="center"/>
    </xf>
  </cellXfs>
  <cellStyles count="4">
    <cellStyle name="Komma" xfId="1" builtinId="3"/>
    <cellStyle name="Normal" xfId="0" builtinId="0"/>
    <cellStyle name="Procent" xfId="3"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Årlige omkostninger per staldplads </a:t>
            </a:r>
          </a:p>
        </c:rich>
      </c:tx>
      <c:layout/>
      <c:overlay val="0"/>
    </c:title>
    <c:autoTitleDeleted val="0"/>
    <c:plotArea>
      <c:layout/>
      <c:barChart>
        <c:barDir val="col"/>
        <c:grouping val="stacked"/>
        <c:varyColors val="0"/>
        <c:ser>
          <c:idx val="0"/>
          <c:order val="0"/>
          <c:tx>
            <c:strRef>
              <c:f>'2013-tal'!$A$20</c:f>
              <c:strCache>
                <c:ptCount val="1"/>
                <c:pt idx="0">
                  <c:v>Kapitalomkostninger, staldanlæg</c:v>
                </c:pt>
              </c:strCache>
            </c:strRef>
          </c:tx>
          <c:invertIfNegative val="0"/>
          <c:cat>
            <c:strRef>
              <c:f>'2013-tal'!$B$17:$C$17</c:f>
              <c:strCache>
                <c:ptCount val="2"/>
                <c:pt idx="0">
                  <c:v>Dybstørelse</c:v>
                </c:pt>
                <c:pt idx="1">
                  <c:v>Sengebås</c:v>
                </c:pt>
              </c:strCache>
            </c:strRef>
          </c:cat>
          <c:val>
            <c:numRef>
              <c:f>'2013-tal'!$B$20:$C$20</c:f>
              <c:numCache>
                <c:formatCode>"kr."#,##0_);[Red]\("kr."#,##0\)</c:formatCode>
                <c:ptCount val="2"/>
                <c:pt idx="0">
                  <c:v>582.99318570014827</c:v>
                </c:pt>
                <c:pt idx="1">
                  <c:v>874.48977855022235</c:v>
                </c:pt>
              </c:numCache>
            </c:numRef>
          </c:val>
        </c:ser>
        <c:ser>
          <c:idx val="1"/>
          <c:order val="1"/>
          <c:tx>
            <c:strRef>
              <c:f>'2013-tal'!$A$21</c:f>
              <c:strCache>
                <c:ptCount val="1"/>
                <c:pt idx="0">
                  <c:v>Kapitalomkostninger, strømaskiner </c:v>
                </c:pt>
              </c:strCache>
            </c:strRef>
          </c:tx>
          <c:invertIfNegative val="0"/>
          <c:cat>
            <c:strRef>
              <c:f>'2013-tal'!$B$17:$C$17</c:f>
              <c:strCache>
                <c:ptCount val="2"/>
                <c:pt idx="0">
                  <c:v>Dybstørelse</c:v>
                </c:pt>
                <c:pt idx="1">
                  <c:v>Sengebås</c:v>
                </c:pt>
              </c:strCache>
            </c:strRef>
          </c:cat>
          <c:val>
            <c:numRef>
              <c:f>'2013-tal'!$B$21:$C$21</c:f>
              <c:numCache>
                <c:formatCode>"kr."#,##0_);[Red]\("kr."#,##0\)</c:formatCode>
                <c:ptCount val="2"/>
                <c:pt idx="0">
                  <c:v>72.256715706933278</c:v>
                </c:pt>
                <c:pt idx="1">
                  <c:v>48.171143804622183</c:v>
                </c:pt>
              </c:numCache>
            </c:numRef>
          </c:val>
        </c:ser>
        <c:ser>
          <c:idx val="2"/>
          <c:order val="2"/>
          <c:tx>
            <c:strRef>
              <c:f>'2013-tal'!$A$22</c:f>
              <c:strCache>
                <c:ptCount val="1"/>
                <c:pt idx="0">
                  <c:v>Halmomkostninger </c:v>
                </c:pt>
              </c:strCache>
            </c:strRef>
          </c:tx>
          <c:invertIfNegative val="0"/>
          <c:cat>
            <c:strRef>
              <c:f>'2013-tal'!$B$17:$C$17</c:f>
              <c:strCache>
                <c:ptCount val="2"/>
                <c:pt idx="0">
                  <c:v>Dybstørelse</c:v>
                </c:pt>
                <c:pt idx="1">
                  <c:v>Sengebås</c:v>
                </c:pt>
              </c:strCache>
            </c:strRef>
          </c:cat>
          <c:val>
            <c:numRef>
              <c:f>'2013-tal'!$B$22:$C$22</c:f>
              <c:numCache>
                <c:formatCode>"kr."#,##0_);[Red]\("kr."#,##0\)</c:formatCode>
                <c:ptCount val="2"/>
                <c:pt idx="0">
                  <c:v>949</c:v>
                </c:pt>
                <c:pt idx="1">
                  <c:v>71.174999999999997</c:v>
                </c:pt>
              </c:numCache>
            </c:numRef>
          </c:val>
        </c:ser>
        <c:ser>
          <c:idx val="3"/>
          <c:order val="3"/>
          <c:tx>
            <c:strRef>
              <c:f>'2013-tal'!$A$23</c:f>
              <c:strCache>
                <c:ptCount val="1"/>
                <c:pt idx="0">
                  <c:v>Lønomkostninger</c:v>
                </c:pt>
              </c:strCache>
            </c:strRef>
          </c:tx>
          <c:invertIfNegative val="0"/>
          <c:cat>
            <c:strRef>
              <c:f>'2013-tal'!$B$17:$C$17</c:f>
              <c:strCache>
                <c:ptCount val="2"/>
                <c:pt idx="0">
                  <c:v>Dybstørelse</c:v>
                </c:pt>
                <c:pt idx="1">
                  <c:v>Sengebås</c:v>
                </c:pt>
              </c:strCache>
            </c:strRef>
          </c:cat>
          <c:val>
            <c:numRef>
              <c:f>'2013-tal'!$B$23:$C$23</c:f>
              <c:numCache>
                <c:formatCode>"kr."#,##0_);[Red]\("kr."#,##0\)</c:formatCode>
                <c:ptCount val="2"/>
                <c:pt idx="0">
                  <c:v>164.25</c:v>
                </c:pt>
                <c:pt idx="1">
                  <c:v>82.125</c:v>
                </c:pt>
              </c:numCache>
            </c:numRef>
          </c:val>
        </c:ser>
        <c:ser>
          <c:idx val="4"/>
          <c:order val="4"/>
          <c:tx>
            <c:strRef>
              <c:f>'2013-tal'!$A$24</c:f>
              <c:strCache>
                <c:ptCount val="1"/>
                <c:pt idx="0">
                  <c:v>Øvrige staldspecifikke omkostninger</c:v>
                </c:pt>
              </c:strCache>
            </c:strRef>
          </c:tx>
          <c:invertIfNegative val="0"/>
          <c:val>
            <c:numRef>
              <c:f>'2013-tal'!$B$24:$C$24</c:f>
              <c:numCache>
                <c:formatCode>"kr."#,##0_);[Red]\("kr."#,##0\)</c:formatCode>
                <c:ptCount val="2"/>
                <c:pt idx="0">
                  <c:v>0</c:v>
                </c:pt>
                <c:pt idx="1">
                  <c:v>0</c:v>
                </c:pt>
              </c:numCache>
            </c:numRef>
          </c:val>
        </c:ser>
        <c:dLbls>
          <c:showLegendKey val="0"/>
          <c:showVal val="0"/>
          <c:showCatName val="0"/>
          <c:showSerName val="0"/>
          <c:showPercent val="0"/>
          <c:showBubbleSize val="0"/>
        </c:dLbls>
        <c:gapWidth val="150"/>
        <c:overlap val="100"/>
        <c:axId val="54706944"/>
        <c:axId val="54708480"/>
      </c:barChart>
      <c:catAx>
        <c:axId val="54706944"/>
        <c:scaling>
          <c:orientation val="minMax"/>
        </c:scaling>
        <c:delete val="0"/>
        <c:axPos val="b"/>
        <c:majorTickMark val="out"/>
        <c:minorTickMark val="none"/>
        <c:tickLblPos val="nextTo"/>
        <c:crossAx val="54708480"/>
        <c:crosses val="autoZero"/>
        <c:auto val="1"/>
        <c:lblAlgn val="ctr"/>
        <c:lblOffset val="100"/>
        <c:noMultiLvlLbl val="0"/>
      </c:catAx>
      <c:valAx>
        <c:axId val="54708480"/>
        <c:scaling>
          <c:orientation val="minMax"/>
        </c:scaling>
        <c:delete val="0"/>
        <c:axPos val="l"/>
        <c:majorGridlines/>
        <c:numFmt formatCode="&quot;kr.&quot;#,##0_);[Red]\(&quot;kr.&quot;#,##0\)" sourceLinked="1"/>
        <c:majorTickMark val="out"/>
        <c:minorTickMark val="none"/>
        <c:tickLblPos val="nextTo"/>
        <c:crossAx val="54706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Årlige omkostninger per staldplads </a:t>
            </a:r>
          </a:p>
        </c:rich>
      </c:tx>
      <c:layout/>
      <c:overlay val="0"/>
    </c:title>
    <c:autoTitleDeleted val="0"/>
    <c:plotArea>
      <c:layout/>
      <c:barChart>
        <c:barDir val="col"/>
        <c:grouping val="stacked"/>
        <c:varyColors val="0"/>
        <c:ser>
          <c:idx val="0"/>
          <c:order val="0"/>
          <c:tx>
            <c:strRef>
              <c:f>' 2011-tal'!$A$20</c:f>
              <c:strCache>
                <c:ptCount val="1"/>
                <c:pt idx="0">
                  <c:v>Kapitalomkostninger, staldanlæg</c:v>
                </c:pt>
              </c:strCache>
            </c:strRef>
          </c:tx>
          <c:invertIfNegative val="0"/>
          <c:cat>
            <c:strRef>
              <c:f>' 2011-tal'!$B$17:$C$17</c:f>
              <c:strCache>
                <c:ptCount val="2"/>
                <c:pt idx="0">
                  <c:v>Dybstørelse</c:v>
                </c:pt>
                <c:pt idx="1">
                  <c:v>Sengebås</c:v>
                </c:pt>
              </c:strCache>
            </c:strRef>
          </c:cat>
          <c:val>
            <c:numRef>
              <c:f>' 2011-tal'!$B$20:$C$20</c:f>
              <c:numCache>
                <c:formatCode>"kr."#,##0_);[Red]\("kr."#,##0\)</c:formatCode>
                <c:ptCount val="2"/>
                <c:pt idx="0">
                  <c:v>582.99318570014827</c:v>
                </c:pt>
                <c:pt idx="1">
                  <c:v>874.48977855022235</c:v>
                </c:pt>
              </c:numCache>
            </c:numRef>
          </c:val>
        </c:ser>
        <c:ser>
          <c:idx val="1"/>
          <c:order val="1"/>
          <c:tx>
            <c:strRef>
              <c:f>' 2011-tal'!$A$21</c:f>
              <c:strCache>
                <c:ptCount val="1"/>
                <c:pt idx="0">
                  <c:v>Kapitalomkostninger, strømaskiner </c:v>
                </c:pt>
              </c:strCache>
            </c:strRef>
          </c:tx>
          <c:invertIfNegative val="0"/>
          <c:cat>
            <c:strRef>
              <c:f>' 2011-tal'!$B$17:$C$17</c:f>
              <c:strCache>
                <c:ptCount val="2"/>
                <c:pt idx="0">
                  <c:v>Dybstørelse</c:v>
                </c:pt>
                <c:pt idx="1">
                  <c:v>Sengebås</c:v>
                </c:pt>
              </c:strCache>
            </c:strRef>
          </c:cat>
          <c:val>
            <c:numRef>
              <c:f>' 2011-tal'!$B$21:$C$21</c:f>
              <c:numCache>
                <c:formatCode>"kr."#,##0_);[Red]\("kr."#,##0\)</c:formatCode>
                <c:ptCount val="2"/>
                <c:pt idx="0">
                  <c:v>72.256715706933278</c:v>
                </c:pt>
                <c:pt idx="1">
                  <c:v>48.171143804622183</c:v>
                </c:pt>
              </c:numCache>
            </c:numRef>
          </c:val>
        </c:ser>
        <c:ser>
          <c:idx val="2"/>
          <c:order val="2"/>
          <c:tx>
            <c:strRef>
              <c:f>' 2011-tal'!$A$22</c:f>
              <c:strCache>
                <c:ptCount val="1"/>
                <c:pt idx="0">
                  <c:v>Halmomkostninger </c:v>
                </c:pt>
              </c:strCache>
            </c:strRef>
          </c:tx>
          <c:invertIfNegative val="0"/>
          <c:cat>
            <c:strRef>
              <c:f>' 2011-tal'!$B$17:$C$17</c:f>
              <c:strCache>
                <c:ptCount val="2"/>
                <c:pt idx="0">
                  <c:v>Dybstørelse</c:v>
                </c:pt>
                <c:pt idx="1">
                  <c:v>Sengebås</c:v>
                </c:pt>
              </c:strCache>
            </c:strRef>
          </c:cat>
          <c:val>
            <c:numRef>
              <c:f>' 2011-tal'!$B$22:$C$22</c:f>
              <c:numCache>
                <c:formatCode>"kr."#,##0_);[Red]\("kr."#,##0\)</c:formatCode>
                <c:ptCount val="2"/>
                <c:pt idx="0">
                  <c:v>949</c:v>
                </c:pt>
                <c:pt idx="1">
                  <c:v>71.174999999999997</c:v>
                </c:pt>
              </c:numCache>
            </c:numRef>
          </c:val>
        </c:ser>
        <c:ser>
          <c:idx val="3"/>
          <c:order val="3"/>
          <c:tx>
            <c:strRef>
              <c:f>' 2011-tal'!$A$23</c:f>
              <c:strCache>
                <c:ptCount val="1"/>
                <c:pt idx="0">
                  <c:v>Lønomkostninger</c:v>
                </c:pt>
              </c:strCache>
            </c:strRef>
          </c:tx>
          <c:invertIfNegative val="0"/>
          <c:cat>
            <c:strRef>
              <c:f>' 2011-tal'!$B$17:$C$17</c:f>
              <c:strCache>
                <c:ptCount val="2"/>
                <c:pt idx="0">
                  <c:v>Dybstørelse</c:v>
                </c:pt>
                <c:pt idx="1">
                  <c:v>Sengebås</c:v>
                </c:pt>
              </c:strCache>
            </c:strRef>
          </c:cat>
          <c:val>
            <c:numRef>
              <c:f>' 2011-tal'!$B$23:$C$23</c:f>
              <c:numCache>
                <c:formatCode>"kr."#,##0_);[Red]\("kr."#,##0\)</c:formatCode>
                <c:ptCount val="2"/>
                <c:pt idx="0">
                  <c:v>155.125</c:v>
                </c:pt>
                <c:pt idx="1">
                  <c:v>77.5625</c:v>
                </c:pt>
              </c:numCache>
            </c:numRef>
          </c:val>
        </c:ser>
        <c:ser>
          <c:idx val="4"/>
          <c:order val="4"/>
          <c:tx>
            <c:strRef>
              <c:f>' 2011-tal'!$A$24</c:f>
              <c:strCache>
                <c:ptCount val="1"/>
                <c:pt idx="0">
                  <c:v>Øvrige staldspecifikke omkostninger</c:v>
                </c:pt>
              </c:strCache>
            </c:strRef>
          </c:tx>
          <c:invertIfNegative val="0"/>
          <c:val>
            <c:numRef>
              <c:f>' 2011-tal'!$B$24:$C$24</c:f>
              <c:numCache>
                <c:formatCode>"kr."#,##0_);[Red]\("kr."#,##0\)</c:formatCode>
                <c:ptCount val="2"/>
                <c:pt idx="0">
                  <c:v>0</c:v>
                </c:pt>
                <c:pt idx="1">
                  <c:v>0</c:v>
                </c:pt>
              </c:numCache>
            </c:numRef>
          </c:val>
        </c:ser>
        <c:dLbls>
          <c:showLegendKey val="0"/>
          <c:showVal val="0"/>
          <c:showCatName val="0"/>
          <c:showSerName val="0"/>
          <c:showPercent val="0"/>
          <c:showBubbleSize val="0"/>
        </c:dLbls>
        <c:gapWidth val="150"/>
        <c:overlap val="100"/>
        <c:axId val="68048768"/>
        <c:axId val="68050304"/>
      </c:barChart>
      <c:catAx>
        <c:axId val="68048768"/>
        <c:scaling>
          <c:orientation val="minMax"/>
        </c:scaling>
        <c:delete val="0"/>
        <c:axPos val="b"/>
        <c:majorTickMark val="out"/>
        <c:minorTickMark val="none"/>
        <c:tickLblPos val="nextTo"/>
        <c:crossAx val="68050304"/>
        <c:crosses val="autoZero"/>
        <c:auto val="1"/>
        <c:lblAlgn val="ctr"/>
        <c:lblOffset val="100"/>
        <c:noMultiLvlLbl val="0"/>
      </c:catAx>
      <c:valAx>
        <c:axId val="68050304"/>
        <c:scaling>
          <c:orientation val="minMax"/>
        </c:scaling>
        <c:delete val="0"/>
        <c:axPos val="l"/>
        <c:majorGridlines/>
        <c:numFmt formatCode="&quot;kr.&quot;#,##0_);[Red]\(&quot;kr.&quot;#,##0\)" sourceLinked="1"/>
        <c:majorTickMark val="out"/>
        <c:minorTickMark val="none"/>
        <c:tickLblPos val="nextTo"/>
        <c:crossAx val="68048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Årlige omkostninger per staldplads </a:t>
            </a:r>
          </a:p>
        </c:rich>
      </c:tx>
      <c:overlay val="0"/>
    </c:title>
    <c:autoTitleDeleted val="0"/>
    <c:plotArea>
      <c:layout/>
      <c:barChart>
        <c:barDir val="col"/>
        <c:grouping val="stacked"/>
        <c:varyColors val="0"/>
        <c:ser>
          <c:idx val="0"/>
          <c:order val="0"/>
          <c:tx>
            <c:strRef>
              <c:f>'dybstrøelse sengebås (2)'!$A$20</c:f>
              <c:strCache>
                <c:ptCount val="1"/>
                <c:pt idx="0">
                  <c:v>Kapitalomkostninger, staldanlæg</c:v>
                </c:pt>
              </c:strCache>
            </c:strRef>
          </c:tx>
          <c:invertIfNegative val="0"/>
          <c:cat>
            <c:strRef>
              <c:f>'dybstrøelse sengebås (2)'!$B$17:$C$17</c:f>
              <c:strCache>
                <c:ptCount val="2"/>
                <c:pt idx="0">
                  <c:v>Dybststørelse</c:v>
                </c:pt>
                <c:pt idx="1">
                  <c:v>Sengebås</c:v>
                </c:pt>
              </c:strCache>
            </c:strRef>
          </c:cat>
          <c:val>
            <c:numRef>
              <c:f>'dybstrøelse sengebås (2)'!$B$20:$C$20</c:f>
              <c:numCache>
                <c:formatCode>"kr."#,##0_);[Red]\("kr."#,##0\)</c:formatCode>
                <c:ptCount val="2"/>
                <c:pt idx="0">
                  <c:v>582.99318570014827</c:v>
                </c:pt>
                <c:pt idx="1">
                  <c:v>874.48977855022235</c:v>
                </c:pt>
              </c:numCache>
            </c:numRef>
          </c:val>
        </c:ser>
        <c:ser>
          <c:idx val="1"/>
          <c:order val="1"/>
          <c:tx>
            <c:strRef>
              <c:f>'dybstrøelse sengebås (2)'!$A$21</c:f>
              <c:strCache>
                <c:ptCount val="1"/>
                <c:pt idx="0">
                  <c:v>Kapitalomkostninger, strømaskiner </c:v>
                </c:pt>
              </c:strCache>
            </c:strRef>
          </c:tx>
          <c:invertIfNegative val="0"/>
          <c:cat>
            <c:strRef>
              <c:f>'dybstrøelse sengebås (2)'!$B$17:$C$17</c:f>
              <c:strCache>
                <c:ptCount val="2"/>
                <c:pt idx="0">
                  <c:v>Dybststørelse</c:v>
                </c:pt>
                <c:pt idx="1">
                  <c:v>Sengebås</c:v>
                </c:pt>
              </c:strCache>
            </c:strRef>
          </c:cat>
          <c:val>
            <c:numRef>
              <c:f>'dybstrøelse sengebås (2)'!$B$21:$C$21</c:f>
              <c:numCache>
                <c:formatCode>"kr."#,##0_);[Red]\("kr."#,##0\)</c:formatCode>
                <c:ptCount val="2"/>
                <c:pt idx="0">
                  <c:v>60.213929755777727</c:v>
                </c:pt>
                <c:pt idx="1">
                  <c:v>48.171143804622183</c:v>
                </c:pt>
              </c:numCache>
            </c:numRef>
          </c:val>
        </c:ser>
        <c:ser>
          <c:idx val="2"/>
          <c:order val="2"/>
          <c:tx>
            <c:strRef>
              <c:f>'dybstrøelse sengebås (2)'!$A$22</c:f>
              <c:strCache>
                <c:ptCount val="1"/>
                <c:pt idx="0">
                  <c:v>Halmomkostninger </c:v>
                </c:pt>
              </c:strCache>
            </c:strRef>
          </c:tx>
          <c:invertIfNegative val="0"/>
          <c:cat>
            <c:strRef>
              <c:f>'dybstrøelse sengebås (2)'!$B$17:$C$17</c:f>
              <c:strCache>
                <c:ptCount val="2"/>
                <c:pt idx="0">
                  <c:v>Dybststørelse</c:v>
                </c:pt>
                <c:pt idx="1">
                  <c:v>Sengebås</c:v>
                </c:pt>
              </c:strCache>
            </c:strRef>
          </c:cat>
          <c:val>
            <c:numRef>
              <c:f>'dybstrøelse sengebås (2)'!$B$22:$C$22</c:f>
              <c:numCache>
                <c:formatCode>_ "kr."\ * #,##0_ ;_ "kr."\ * \-#,##0_ ;_ "kr."\ * "-"??_ ;_ @_ </c:formatCode>
                <c:ptCount val="2"/>
                <c:pt idx="0">
                  <c:v>328.49999999999994</c:v>
                </c:pt>
                <c:pt idx="1">
                  <c:v>32.85</c:v>
                </c:pt>
              </c:numCache>
            </c:numRef>
          </c:val>
        </c:ser>
        <c:ser>
          <c:idx val="3"/>
          <c:order val="3"/>
          <c:tx>
            <c:strRef>
              <c:f>'dybstrøelse sengebås (2)'!$A$23</c:f>
              <c:strCache>
                <c:ptCount val="1"/>
                <c:pt idx="0">
                  <c:v>Lønomkostninger</c:v>
                </c:pt>
              </c:strCache>
            </c:strRef>
          </c:tx>
          <c:invertIfNegative val="0"/>
          <c:cat>
            <c:strRef>
              <c:f>'dybstrøelse sengebås (2)'!$B$17:$C$17</c:f>
              <c:strCache>
                <c:ptCount val="2"/>
                <c:pt idx="0">
                  <c:v>Dybststørelse</c:v>
                </c:pt>
                <c:pt idx="1">
                  <c:v>Sengebås</c:v>
                </c:pt>
              </c:strCache>
            </c:strRef>
          </c:cat>
          <c:val>
            <c:numRef>
              <c:f>'dybstrøelse sengebås (2)'!$B$23:$C$23</c:f>
              <c:numCache>
                <c:formatCode>_ "kr."\ * #,##0_ ;_ "kr."\ * \-#,##0_ ;_ "kr."\ * "-"??_ ;_ @_ </c:formatCode>
                <c:ptCount val="2"/>
                <c:pt idx="0">
                  <c:v>100.83125</c:v>
                </c:pt>
                <c:pt idx="1">
                  <c:v>77.5625</c:v>
                </c:pt>
              </c:numCache>
            </c:numRef>
          </c:val>
        </c:ser>
        <c:dLbls>
          <c:showLegendKey val="0"/>
          <c:showVal val="0"/>
          <c:showCatName val="0"/>
          <c:showSerName val="0"/>
          <c:showPercent val="0"/>
          <c:showBubbleSize val="0"/>
        </c:dLbls>
        <c:gapWidth val="150"/>
        <c:overlap val="100"/>
        <c:axId val="75385088"/>
        <c:axId val="92012544"/>
      </c:barChart>
      <c:catAx>
        <c:axId val="75385088"/>
        <c:scaling>
          <c:orientation val="minMax"/>
        </c:scaling>
        <c:delete val="0"/>
        <c:axPos val="b"/>
        <c:majorTickMark val="out"/>
        <c:minorTickMark val="none"/>
        <c:tickLblPos val="nextTo"/>
        <c:crossAx val="92012544"/>
        <c:crosses val="autoZero"/>
        <c:auto val="1"/>
        <c:lblAlgn val="ctr"/>
        <c:lblOffset val="100"/>
        <c:noMultiLvlLbl val="0"/>
      </c:catAx>
      <c:valAx>
        <c:axId val="92012544"/>
        <c:scaling>
          <c:orientation val="minMax"/>
        </c:scaling>
        <c:delete val="0"/>
        <c:axPos val="l"/>
        <c:majorGridlines/>
        <c:numFmt formatCode="&quot;kr.&quot;#,##0_);[Red]\(&quot;kr.&quot;#,##0\)" sourceLinked="1"/>
        <c:majorTickMark val="out"/>
        <c:minorTickMark val="none"/>
        <c:tickLblPos val="nextTo"/>
        <c:crossAx val="75385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304800</xdr:colOff>
      <xdr:row>10</xdr:row>
      <xdr:rowOff>23812</xdr:rowOff>
    </xdr:from>
    <xdr:to>
      <xdr:col>10</xdr:col>
      <xdr:colOff>561975</xdr:colOff>
      <xdr:row>26</xdr:row>
      <xdr:rowOff>95250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142875</xdr:colOff>
      <xdr:row>0</xdr:row>
      <xdr:rowOff>57150</xdr:rowOff>
    </xdr:from>
    <xdr:to>
      <xdr:col>16</xdr:col>
      <xdr:colOff>390525</xdr:colOff>
      <xdr:row>10</xdr:row>
      <xdr:rowOff>152400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82575" y="57150"/>
          <a:ext cx="207645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10</xdr:row>
      <xdr:rowOff>23812</xdr:rowOff>
    </xdr:from>
    <xdr:to>
      <xdr:col>10</xdr:col>
      <xdr:colOff>561975</xdr:colOff>
      <xdr:row>26</xdr:row>
      <xdr:rowOff>95250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466725</xdr:colOff>
      <xdr:row>10</xdr:row>
      <xdr:rowOff>0</xdr:rowOff>
    </xdr:from>
    <xdr:to>
      <xdr:col>16</xdr:col>
      <xdr:colOff>104775</xdr:colOff>
      <xdr:row>20</xdr:row>
      <xdr:rowOff>38100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53800" y="1847850"/>
          <a:ext cx="2076450" cy="194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685800</xdr:colOff>
      <xdr:row>8</xdr:row>
      <xdr:rowOff>147637</xdr:rowOff>
    </xdr:from>
    <xdr:to>
      <xdr:col>12</xdr:col>
      <xdr:colOff>495300</xdr:colOff>
      <xdr:row>26</xdr:row>
      <xdr:rowOff>33337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2"/>
  <sheetViews>
    <sheetView tabSelected="1" workbookViewId="0">
      <selection activeCell="R5" sqref="R5"/>
    </sheetView>
  </sheetViews>
  <sheetFormatPr defaultRowHeight="15" x14ac:dyDescent="0.25"/>
  <cols>
    <col min="1" max="1" width="37.7109375" style="29" customWidth="1"/>
    <col min="2" max="2" width="15.140625" style="29" customWidth="1"/>
    <col min="3" max="3" width="16" style="29" customWidth="1"/>
    <col min="4" max="4" width="11.7109375" style="29" customWidth="1"/>
    <col min="5" max="5" width="22.7109375" style="29" customWidth="1"/>
    <col min="6" max="6" width="11.5703125" style="29" customWidth="1"/>
    <col min="7" max="7" width="14.42578125" style="29" customWidth="1"/>
    <col min="8" max="8" width="18.85546875" style="29" customWidth="1"/>
    <col min="9" max="9" width="7" style="29" customWidth="1"/>
    <col min="10" max="10" width="10" style="29" customWidth="1"/>
    <col min="11" max="16384" width="9.140625" style="29"/>
  </cols>
  <sheetData>
    <row r="1" spans="1:10" x14ac:dyDescent="0.25">
      <c r="A1" s="34" t="s">
        <v>60</v>
      </c>
      <c r="E1" s="52" t="s">
        <v>49</v>
      </c>
      <c r="F1" s="37"/>
      <c r="G1" s="37"/>
      <c r="H1" s="37"/>
      <c r="I1" s="38"/>
      <c r="J1" s="38"/>
    </row>
    <row r="2" spans="1:10" x14ac:dyDescent="0.25">
      <c r="E2" s="39" t="s">
        <v>27</v>
      </c>
      <c r="F2" s="46">
        <v>30</v>
      </c>
      <c r="G2" s="40" t="s">
        <v>61</v>
      </c>
      <c r="H2" s="40"/>
      <c r="I2" s="41"/>
      <c r="J2" s="41"/>
    </row>
    <row r="3" spans="1:10" x14ac:dyDescent="0.25">
      <c r="E3" s="39" t="s">
        <v>26</v>
      </c>
      <c r="F3" s="46">
        <v>15</v>
      </c>
      <c r="G3" s="55" t="str">
        <f>B8</f>
        <v>Dybstørelse</v>
      </c>
      <c r="H3" s="55" t="str">
        <f>C8</f>
        <v>Sengebås</v>
      </c>
      <c r="I3" s="41"/>
      <c r="J3" s="41"/>
    </row>
    <row r="4" spans="1:10" ht="12.75" customHeight="1" x14ac:dyDescent="0.25">
      <c r="E4" s="39" t="s">
        <v>40</v>
      </c>
      <c r="F4" s="46">
        <v>15</v>
      </c>
      <c r="G4" s="54">
        <v>1</v>
      </c>
      <c r="H4" s="54">
        <v>0.5</v>
      </c>
      <c r="I4" s="41"/>
      <c r="J4" s="41"/>
    </row>
    <row r="5" spans="1:10" ht="12.75" customHeight="1" x14ac:dyDescent="0.25">
      <c r="E5" s="39" t="s">
        <v>28</v>
      </c>
      <c r="F5" s="46">
        <v>0.25</v>
      </c>
      <c r="G5" s="40"/>
      <c r="H5" s="40"/>
      <c r="I5" s="41"/>
      <c r="J5" s="41"/>
    </row>
    <row r="6" spans="1:10" x14ac:dyDescent="0.25">
      <c r="E6" s="39" t="s">
        <v>2</v>
      </c>
      <c r="F6" s="48">
        <v>0.05</v>
      </c>
      <c r="G6" s="40"/>
      <c r="H6" s="40"/>
      <c r="I6" s="41"/>
      <c r="J6" s="41"/>
    </row>
    <row r="7" spans="1:10" x14ac:dyDescent="0.25">
      <c r="B7" s="97" t="s">
        <v>1</v>
      </c>
      <c r="C7" s="98"/>
      <c r="E7" s="39" t="s">
        <v>42</v>
      </c>
      <c r="F7" s="49">
        <v>400</v>
      </c>
      <c r="G7" s="40"/>
      <c r="H7" s="40"/>
      <c r="I7" s="41"/>
      <c r="J7" s="41"/>
    </row>
    <row r="8" spans="1:10" x14ac:dyDescent="0.25">
      <c r="B8" s="66" t="s">
        <v>58</v>
      </c>
      <c r="C8" s="66" t="s">
        <v>0</v>
      </c>
      <c r="E8" s="39" t="s">
        <v>38</v>
      </c>
      <c r="F8" s="50">
        <v>180</v>
      </c>
      <c r="G8" s="40"/>
      <c r="H8" s="40"/>
      <c r="I8" s="41"/>
      <c r="J8" s="41"/>
    </row>
    <row r="9" spans="1:10" x14ac:dyDescent="0.25">
      <c r="A9" s="29" t="s">
        <v>29</v>
      </c>
      <c r="B9" s="61">
        <v>8000</v>
      </c>
      <c r="C9" s="61">
        <v>12000</v>
      </c>
      <c r="E9" s="51" t="s">
        <v>39</v>
      </c>
      <c r="F9" s="44">
        <v>365</v>
      </c>
      <c r="G9" s="44"/>
      <c r="H9" s="44"/>
      <c r="I9" s="45"/>
      <c r="J9" s="45"/>
    </row>
    <row r="10" spans="1:10" x14ac:dyDescent="0.25">
      <c r="A10" s="56" t="s">
        <v>50</v>
      </c>
      <c r="B10" s="62">
        <f>B9-B11</f>
        <v>6000</v>
      </c>
      <c r="C10" s="62">
        <f>C9-C11</f>
        <v>9000</v>
      </c>
    </row>
    <row r="11" spans="1:10" x14ac:dyDescent="0.25">
      <c r="A11" s="56" t="s">
        <v>51</v>
      </c>
      <c r="B11" s="61">
        <f>B9*$F$5</f>
        <v>2000</v>
      </c>
      <c r="C11" s="61">
        <f>C9*$F$5</f>
        <v>3000</v>
      </c>
    </row>
    <row r="12" spans="1:10" x14ac:dyDescent="0.25">
      <c r="A12" s="29" t="s">
        <v>43</v>
      </c>
      <c r="B12" s="61">
        <v>750</v>
      </c>
      <c r="C12" s="61">
        <v>500</v>
      </c>
      <c r="D12" s="31"/>
    </row>
    <row r="13" spans="1:10" x14ac:dyDescent="0.25">
      <c r="A13" s="29" t="s">
        <v>44</v>
      </c>
      <c r="B13" s="63">
        <v>4</v>
      </c>
      <c r="C13" s="70">
        <v>0.3</v>
      </c>
    </row>
    <row r="14" spans="1:10" x14ac:dyDescent="0.25">
      <c r="A14" s="29" t="s">
        <v>3</v>
      </c>
      <c r="B14" s="64">
        <v>0.65</v>
      </c>
      <c r="C14" s="64">
        <f>B14</f>
        <v>0.65</v>
      </c>
    </row>
    <row r="15" spans="1:10" x14ac:dyDescent="0.25">
      <c r="A15" s="29" t="s">
        <v>45</v>
      </c>
      <c r="B15" s="65">
        <f>G4/400</f>
        <v>2.5000000000000001E-3</v>
      </c>
      <c r="C15" s="65">
        <f>H4/F7</f>
        <v>1.25E-3</v>
      </c>
    </row>
    <row r="16" spans="1:10" x14ac:dyDescent="0.25">
      <c r="B16" s="71" t="s">
        <v>10</v>
      </c>
      <c r="C16" s="72"/>
    </row>
    <row r="17" spans="1:6" x14ac:dyDescent="0.25">
      <c r="B17" s="66" t="str">
        <f>B8</f>
        <v>Dybstørelse</v>
      </c>
      <c r="C17" s="66" t="str">
        <f>C8</f>
        <v>Sengebås</v>
      </c>
    </row>
    <row r="18" spans="1:6" x14ac:dyDescent="0.25">
      <c r="A18" s="29" t="s">
        <v>32</v>
      </c>
      <c r="B18" s="67">
        <f>-PMT($F$6,$F$2,B10)</f>
        <v>390.30861048165951</v>
      </c>
      <c r="C18" s="67">
        <f>-PMT($F$6,$F$2,C10)</f>
        <v>585.46291572248924</v>
      </c>
    </row>
    <row r="19" spans="1:6" x14ac:dyDescent="0.25">
      <c r="A19" s="29" t="s">
        <v>31</v>
      </c>
      <c r="B19" s="68">
        <f>-PMT($F$6,$F$3,B11)</f>
        <v>192.68457521848873</v>
      </c>
      <c r="C19" s="68">
        <f>-PMT($F$6,$F$3,C11)</f>
        <v>289.02686282773311</v>
      </c>
    </row>
    <row r="20" spans="1:6" ht="27" customHeight="1" x14ac:dyDescent="0.25">
      <c r="A20" s="29" t="s">
        <v>33</v>
      </c>
      <c r="B20" s="68">
        <f>B18+B19</f>
        <v>582.99318570014827</v>
      </c>
      <c r="C20" s="68">
        <f>C18+C19</f>
        <v>874.48977855022235</v>
      </c>
      <c r="D20" s="32"/>
    </row>
    <row r="21" spans="1:6" x14ac:dyDescent="0.25">
      <c r="A21" s="29" t="s">
        <v>6</v>
      </c>
      <c r="B21" s="68">
        <f>-PMT($F$6,$F$4,B12)</f>
        <v>72.256715706933278</v>
      </c>
      <c r="C21" s="68">
        <f>-PMT($F$6,$F$4,C12)</f>
        <v>48.171143804622183</v>
      </c>
    </row>
    <row r="22" spans="1:6" x14ac:dyDescent="0.25">
      <c r="A22" s="29" t="s">
        <v>35</v>
      </c>
      <c r="B22" s="68">
        <f>B13*B14*$F$9</f>
        <v>949</v>
      </c>
      <c r="C22" s="68">
        <f>C13*C14*$F$9</f>
        <v>71.174999999999997</v>
      </c>
      <c r="D22" s="30"/>
    </row>
    <row r="23" spans="1:6" x14ac:dyDescent="0.25">
      <c r="A23" s="29" t="s">
        <v>8</v>
      </c>
      <c r="B23" s="68">
        <f>B15*$F$9*$F$8</f>
        <v>164.25</v>
      </c>
      <c r="C23" s="68">
        <f>C15*$F$9*$F$8</f>
        <v>82.125</v>
      </c>
      <c r="D23" s="33"/>
    </row>
    <row r="24" spans="1:6" x14ac:dyDescent="0.25">
      <c r="A24" s="29" t="s">
        <v>37</v>
      </c>
      <c r="B24" s="62">
        <v>0</v>
      </c>
      <c r="C24" s="62">
        <v>0</v>
      </c>
      <c r="D24" s="33"/>
    </row>
    <row r="25" spans="1:6" x14ac:dyDescent="0.25">
      <c r="A25" s="29" t="s">
        <v>64</v>
      </c>
      <c r="B25" s="88">
        <f>B20/B26</f>
        <v>0.32965406740271691</v>
      </c>
      <c r="C25" s="90">
        <f>C20/C26</f>
        <v>0.81275235966406367</v>
      </c>
      <c r="D25" s="79" t="s">
        <v>65</v>
      </c>
      <c r="E25" s="35"/>
    </row>
    <row r="26" spans="1:6" x14ac:dyDescent="0.25">
      <c r="A26" s="34" t="s">
        <v>41</v>
      </c>
      <c r="B26" s="89">
        <f>SUM(B20:B24)</f>
        <v>1768.4999014070816</v>
      </c>
      <c r="C26" s="82">
        <f>SUM(C20:C24)</f>
        <v>1075.9609223548446</v>
      </c>
      <c r="D26" s="78">
        <f>B26-C26</f>
        <v>692.53897905223698</v>
      </c>
    </row>
    <row r="27" spans="1:6" x14ac:dyDescent="0.25">
      <c r="A27" s="34"/>
      <c r="D27" s="32"/>
    </row>
    <row r="29" spans="1:6" x14ac:dyDescent="0.25">
      <c r="A29" s="52" t="s">
        <v>55</v>
      </c>
      <c r="B29" s="37"/>
      <c r="C29" s="38"/>
      <c r="F29" s="40"/>
    </row>
    <row r="30" spans="1:6" x14ac:dyDescent="0.25">
      <c r="A30" s="53"/>
      <c r="B30" s="59" t="s">
        <v>46</v>
      </c>
      <c r="C30" s="60" t="s">
        <v>47</v>
      </c>
      <c r="F30" s="40"/>
    </row>
    <row r="31" spans="1:6" x14ac:dyDescent="0.25">
      <c r="A31" s="39" t="s">
        <v>14</v>
      </c>
      <c r="B31" s="84">
        <f>117*1.07</f>
        <v>125.19000000000001</v>
      </c>
      <c r="C31" s="85">
        <v>200</v>
      </c>
      <c r="F31" s="40"/>
    </row>
    <row r="32" spans="1:6" x14ac:dyDescent="0.25">
      <c r="A32" s="39" t="s">
        <v>15</v>
      </c>
      <c r="B32" s="68">
        <f>190*1.02^2</f>
        <v>197.67599999999999</v>
      </c>
      <c r="C32" s="62">
        <v>200</v>
      </c>
      <c r="F32" s="40"/>
    </row>
    <row r="33" spans="1:5" ht="27.75" customHeight="1" x14ac:dyDescent="0.25">
      <c r="A33" s="39" t="s">
        <v>54</v>
      </c>
      <c r="B33" s="68">
        <f>(931-C23)*1.02^2</f>
        <v>883.16954999999996</v>
      </c>
      <c r="C33" s="62">
        <v>200</v>
      </c>
    </row>
    <row r="34" spans="1:5" x14ac:dyDescent="0.25">
      <c r="A34" s="39" t="s">
        <v>17</v>
      </c>
      <c r="B34" s="68">
        <f>300*1.02^2</f>
        <v>312.12</v>
      </c>
      <c r="C34" s="62">
        <v>200</v>
      </c>
    </row>
    <row r="35" spans="1:5" x14ac:dyDescent="0.25">
      <c r="A35" s="40" t="s">
        <v>56</v>
      </c>
      <c r="B35" s="68">
        <f>3000*F6</f>
        <v>150</v>
      </c>
      <c r="C35" s="62">
        <v>200</v>
      </c>
    </row>
    <row r="36" spans="1:5" x14ac:dyDescent="0.25">
      <c r="A36" s="86" t="s">
        <v>63</v>
      </c>
      <c r="B36" s="69">
        <f>SUM(B31:B35)</f>
        <v>1668.1555499999999</v>
      </c>
      <c r="C36" s="87">
        <f>SUM(C31:C35)</f>
        <v>1000</v>
      </c>
    </row>
    <row r="37" spans="1:5" x14ac:dyDescent="0.25">
      <c r="A37" s="29" t="s">
        <v>67</v>
      </c>
    </row>
    <row r="38" spans="1:5" ht="15.75" x14ac:dyDescent="0.25">
      <c r="A38" s="36"/>
      <c r="B38" s="80" t="s">
        <v>57</v>
      </c>
      <c r="C38" s="81"/>
      <c r="D38" s="40"/>
    </row>
    <row r="39" spans="1:5" x14ac:dyDescent="0.25">
      <c r="A39" s="39"/>
      <c r="B39" s="91" t="s">
        <v>58</v>
      </c>
      <c r="C39" s="92" t="s">
        <v>0</v>
      </c>
      <c r="D39" s="40"/>
    </row>
    <row r="40" spans="1:5" x14ac:dyDescent="0.25">
      <c r="A40" s="39" t="s">
        <v>48</v>
      </c>
      <c r="B40" s="42">
        <f>B26+B31+B32+B33+B34+B35</f>
        <v>3436.6554514070817</v>
      </c>
      <c r="C40" s="77">
        <f>C26+B31+B32+B33+B34+B35</f>
        <v>2744.1164723548445</v>
      </c>
      <c r="D40" s="75"/>
      <c r="E40" s="76"/>
    </row>
    <row r="41" spans="1:5" x14ac:dyDescent="0.25">
      <c r="A41" s="39" t="s">
        <v>68</v>
      </c>
      <c r="B41" s="57">
        <v>1789</v>
      </c>
      <c r="C41" s="57">
        <v>1789</v>
      </c>
      <c r="D41" s="75"/>
      <c r="E41" s="76"/>
    </row>
    <row r="42" spans="1:5" x14ac:dyDescent="0.25">
      <c r="A42" s="51" t="s">
        <v>52</v>
      </c>
      <c r="B42" s="58">
        <f>B41-B40</f>
        <v>-1647.6554514070817</v>
      </c>
      <c r="C42" s="78">
        <f>C41-C40</f>
        <v>-955.11647235484452</v>
      </c>
      <c r="D42" s="75"/>
      <c r="E42" s="76"/>
    </row>
    <row r="43" spans="1:5" x14ac:dyDescent="0.25">
      <c r="D43" s="40"/>
    </row>
    <row r="44" spans="1:5" x14ac:dyDescent="0.25">
      <c r="A44" s="40"/>
      <c r="B44" s="40"/>
      <c r="C44" s="40"/>
      <c r="D44" s="40"/>
    </row>
    <row r="45" spans="1:5" x14ac:dyDescent="0.25">
      <c r="A45" s="36"/>
      <c r="B45" s="99" t="s">
        <v>47</v>
      </c>
      <c r="C45" s="100"/>
      <c r="D45" s="40"/>
    </row>
    <row r="46" spans="1:5" x14ac:dyDescent="0.25">
      <c r="A46" s="39"/>
      <c r="B46" s="59" t="str">
        <f>B17</f>
        <v>Dybstørelse</v>
      </c>
      <c r="C46" s="73" t="str">
        <f>C17</f>
        <v>Sengebås</v>
      </c>
    </row>
    <row r="47" spans="1:5" x14ac:dyDescent="0.25">
      <c r="A47" s="39" t="s">
        <v>59</v>
      </c>
      <c r="B47" s="57">
        <f>B26+$C$31+$C$32+$C$33+$C$34+$C$35</f>
        <v>2768.4999014070818</v>
      </c>
      <c r="C47" s="74">
        <f>C26+$C$31+$C$32+$C$33+$C$34+$C$35</f>
        <v>2075.9609223548446</v>
      </c>
    </row>
    <row r="48" spans="1:5" x14ac:dyDescent="0.25">
      <c r="A48" s="39" t="s">
        <v>62</v>
      </c>
      <c r="B48" s="46"/>
      <c r="C48" s="47"/>
    </row>
    <row r="49" spans="1:3" x14ac:dyDescent="0.25">
      <c r="A49" s="43" t="s">
        <v>52</v>
      </c>
      <c r="B49" s="82">
        <f>B48-B47</f>
        <v>-2768.4999014070818</v>
      </c>
      <c r="C49" s="83">
        <f>C48-C47</f>
        <v>-2075.9609223548446</v>
      </c>
    </row>
    <row r="208" spans="38:42" ht="60" x14ac:dyDescent="0.25">
      <c r="AL208" s="93"/>
      <c r="AM208" s="94" t="s">
        <v>69</v>
      </c>
      <c r="AN208" s="94" t="s">
        <v>70</v>
      </c>
      <c r="AO208" s="94" t="s">
        <v>71</v>
      </c>
      <c r="AP208" s="94"/>
    </row>
    <row r="209" spans="38:42" x14ac:dyDescent="0.25">
      <c r="AL209" s="93" t="s">
        <v>72</v>
      </c>
      <c r="AM209" s="95">
        <f>1466+275</f>
        <v>1741</v>
      </c>
      <c r="AN209" s="96">
        <v>1.4</v>
      </c>
      <c r="AO209" s="95">
        <f>AM209*AN209</f>
        <v>2437.3999999999996</v>
      </c>
      <c r="AP209" s="95"/>
    </row>
    <row r="210" spans="38:42" x14ac:dyDescent="0.25">
      <c r="AL210" s="93" t="s">
        <v>73</v>
      </c>
      <c r="AM210" s="95">
        <f>953+113</f>
        <v>1066</v>
      </c>
      <c r="AN210" s="95">
        <v>1.07</v>
      </c>
      <c r="AO210" s="95">
        <f>AM210*1.07</f>
        <v>1140.6200000000001</v>
      </c>
      <c r="AP210" s="95"/>
    </row>
    <row r="211" spans="38:42" x14ac:dyDescent="0.25">
      <c r="AL211" s="93" t="s">
        <v>74</v>
      </c>
      <c r="AM211" s="95"/>
      <c r="AN211" s="95"/>
      <c r="AO211" s="95">
        <f>AO209*0.5+AO210*0.5</f>
        <v>1789.0099999999998</v>
      </c>
      <c r="AP211" s="95"/>
    </row>
    <row r="212" spans="38:42" x14ac:dyDescent="0.25">
      <c r="AL212" s="95"/>
      <c r="AM212" s="95"/>
      <c r="AN212" s="95"/>
      <c r="AO212" s="95"/>
      <c r="AP212" s="95"/>
    </row>
  </sheetData>
  <mergeCells count="2">
    <mergeCell ref="B7:C7"/>
    <mergeCell ref="B45:C45"/>
  </mergeCells>
  <dataValidations count="2">
    <dataValidation allowBlank="1" showInputMessage="1" showErrorMessage="1" promptTitle="Kun omkostninger i dette felt" prompt="Er der tale om indtægter, der er specifikke for stalde med sengebåse så korrigerer det i dit forventede dækningsbidrag i celle C39 " sqref="C24"/>
    <dataValidation errorStyle="information" allowBlank="1" showInputMessage="1" showErrorMessage="1" promptTitle="Kun omkostninger i dette felt " prompt="Er der tale om staldspeciffike indtægter, skal DB korrigeres i celle B39.   " sqref="B2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1" workbookViewId="0">
      <selection activeCell="R16" sqref="R16"/>
    </sheetView>
  </sheetViews>
  <sheetFormatPr defaultRowHeight="15" x14ac:dyDescent="0.25"/>
  <cols>
    <col min="1" max="1" width="37.7109375" style="29" customWidth="1"/>
    <col min="2" max="2" width="15.140625" style="29" customWidth="1"/>
    <col min="3" max="3" width="16" style="29" customWidth="1"/>
    <col min="4" max="4" width="11.7109375" style="29" customWidth="1"/>
    <col min="5" max="5" width="22.7109375" style="29" customWidth="1"/>
    <col min="6" max="6" width="8.140625" style="29" customWidth="1"/>
    <col min="7" max="7" width="14.42578125" style="29" customWidth="1"/>
    <col min="8" max="8" width="12.140625" style="29" customWidth="1"/>
    <col min="9" max="9" width="7" style="29" customWidth="1"/>
    <col min="10" max="10" width="9.140625" style="29" hidden="1" customWidth="1"/>
    <col min="11" max="16384" width="9.140625" style="29"/>
  </cols>
  <sheetData>
    <row r="1" spans="1:10" x14ac:dyDescent="0.25">
      <c r="A1" s="34" t="s">
        <v>60</v>
      </c>
      <c r="E1" s="52" t="s">
        <v>49</v>
      </c>
      <c r="F1" s="37"/>
      <c r="G1" s="37"/>
      <c r="H1" s="37"/>
      <c r="I1" s="38"/>
      <c r="J1" s="38"/>
    </row>
    <row r="2" spans="1:10" x14ac:dyDescent="0.25">
      <c r="E2" s="39" t="s">
        <v>27</v>
      </c>
      <c r="F2" s="46">
        <v>30</v>
      </c>
      <c r="G2" s="40" t="s">
        <v>61</v>
      </c>
      <c r="H2" s="40"/>
      <c r="I2" s="41"/>
      <c r="J2" s="41"/>
    </row>
    <row r="3" spans="1:10" x14ac:dyDescent="0.25">
      <c r="E3" s="39" t="s">
        <v>26</v>
      </c>
      <c r="F3" s="46">
        <v>15</v>
      </c>
      <c r="G3" s="55" t="str">
        <f>B8</f>
        <v>Dybstørelse</v>
      </c>
      <c r="H3" s="55" t="str">
        <f>C8</f>
        <v>Sengebås</v>
      </c>
      <c r="I3" s="41"/>
      <c r="J3" s="41"/>
    </row>
    <row r="4" spans="1:10" ht="12.75" customHeight="1" x14ac:dyDescent="0.25">
      <c r="E4" s="39" t="s">
        <v>40</v>
      </c>
      <c r="F4" s="46">
        <v>15</v>
      </c>
      <c r="G4" s="54">
        <v>1</v>
      </c>
      <c r="H4" s="54">
        <v>0.5</v>
      </c>
      <c r="I4" s="41"/>
      <c r="J4" s="41"/>
    </row>
    <row r="5" spans="1:10" ht="12.75" customHeight="1" x14ac:dyDescent="0.25">
      <c r="E5" s="39" t="s">
        <v>28</v>
      </c>
      <c r="F5" s="46">
        <v>0.25</v>
      </c>
      <c r="G5" s="40"/>
      <c r="H5" s="40"/>
      <c r="I5" s="41"/>
      <c r="J5" s="41"/>
    </row>
    <row r="6" spans="1:10" x14ac:dyDescent="0.25">
      <c r="E6" s="39" t="s">
        <v>2</v>
      </c>
      <c r="F6" s="48">
        <v>0.05</v>
      </c>
      <c r="G6" s="40"/>
      <c r="H6" s="40"/>
      <c r="I6" s="41"/>
      <c r="J6" s="41"/>
    </row>
    <row r="7" spans="1:10" x14ac:dyDescent="0.25">
      <c r="B7" s="97" t="s">
        <v>1</v>
      </c>
      <c r="C7" s="98"/>
      <c r="E7" s="39" t="s">
        <v>42</v>
      </c>
      <c r="F7" s="49">
        <v>400</v>
      </c>
      <c r="G7" s="40"/>
      <c r="H7" s="40"/>
      <c r="I7" s="41"/>
      <c r="J7" s="41"/>
    </row>
    <row r="8" spans="1:10" x14ac:dyDescent="0.25">
      <c r="B8" s="66" t="s">
        <v>58</v>
      </c>
      <c r="C8" s="66" t="s">
        <v>0</v>
      </c>
      <c r="E8" s="39" t="s">
        <v>38</v>
      </c>
      <c r="F8" s="50">
        <v>170</v>
      </c>
      <c r="G8" s="40"/>
      <c r="H8" s="40"/>
      <c r="I8" s="41"/>
      <c r="J8" s="41"/>
    </row>
    <row r="9" spans="1:10" x14ac:dyDescent="0.25">
      <c r="A9" s="29" t="s">
        <v>29</v>
      </c>
      <c r="B9" s="61">
        <v>8000</v>
      </c>
      <c r="C9" s="61">
        <v>12000</v>
      </c>
      <c r="E9" s="51" t="s">
        <v>39</v>
      </c>
      <c r="F9" s="44">
        <v>365</v>
      </c>
      <c r="G9" s="44"/>
      <c r="H9" s="44"/>
      <c r="I9" s="45"/>
      <c r="J9" s="45"/>
    </row>
    <row r="10" spans="1:10" x14ac:dyDescent="0.25">
      <c r="A10" s="56" t="s">
        <v>50</v>
      </c>
      <c r="B10" s="62">
        <f>B9-B11</f>
        <v>6000</v>
      </c>
      <c r="C10" s="62">
        <f>C9-C11</f>
        <v>9000</v>
      </c>
    </row>
    <row r="11" spans="1:10" x14ac:dyDescent="0.25">
      <c r="A11" s="56" t="s">
        <v>51</v>
      </c>
      <c r="B11" s="61">
        <f>B9*$F$5</f>
        <v>2000</v>
      </c>
      <c r="C11" s="61">
        <f>C9*$F$5</f>
        <v>3000</v>
      </c>
    </row>
    <row r="12" spans="1:10" x14ac:dyDescent="0.25">
      <c r="A12" s="29" t="s">
        <v>43</v>
      </c>
      <c r="B12" s="61">
        <v>750</v>
      </c>
      <c r="C12" s="61">
        <v>500</v>
      </c>
      <c r="D12" s="31"/>
    </row>
    <row r="13" spans="1:10" x14ac:dyDescent="0.25">
      <c r="A13" s="29" t="s">
        <v>44</v>
      </c>
      <c r="B13" s="63">
        <v>4</v>
      </c>
      <c r="C13" s="70">
        <v>0.3</v>
      </c>
    </row>
    <row r="14" spans="1:10" x14ac:dyDescent="0.25">
      <c r="A14" s="29" t="s">
        <v>3</v>
      </c>
      <c r="B14" s="64">
        <v>0.65</v>
      </c>
      <c r="C14" s="64">
        <f>B14</f>
        <v>0.65</v>
      </c>
    </row>
    <row r="15" spans="1:10" x14ac:dyDescent="0.25">
      <c r="A15" s="29" t="s">
        <v>45</v>
      </c>
      <c r="B15" s="65">
        <f>G4/400</f>
        <v>2.5000000000000001E-3</v>
      </c>
      <c r="C15" s="65">
        <f>H4/F7</f>
        <v>1.25E-3</v>
      </c>
    </row>
    <row r="16" spans="1:10" x14ac:dyDescent="0.25">
      <c r="B16" s="71" t="s">
        <v>10</v>
      </c>
      <c r="C16" s="72"/>
    </row>
    <row r="17" spans="1:6" x14ac:dyDescent="0.25">
      <c r="B17" s="66" t="str">
        <f>B8</f>
        <v>Dybstørelse</v>
      </c>
      <c r="C17" s="66" t="str">
        <f>C8</f>
        <v>Sengebås</v>
      </c>
    </row>
    <row r="18" spans="1:6" x14ac:dyDescent="0.25">
      <c r="A18" s="29" t="s">
        <v>32</v>
      </c>
      <c r="B18" s="67">
        <f>-PMT($F$6,$F$2,B10)</f>
        <v>390.30861048165951</v>
      </c>
      <c r="C18" s="67">
        <f>-PMT($F$6,$F$2,C10)</f>
        <v>585.46291572248924</v>
      </c>
    </row>
    <row r="19" spans="1:6" x14ac:dyDescent="0.25">
      <c r="A19" s="29" t="s">
        <v>31</v>
      </c>
      <c r="B19" s="68">
        <f>-PMT($F$6,$F$3,B11)</f>
        <v>192.68457521848873</v>
      </c>
      <c r="C19" s="68">
        <f>-PMT($F$6,$F$3,C11)</f>
        <v>289.02686282773311</v>
      </c>
    </row>
    <row r="20" spans="1:6" x14ac:dyDescent="0.25">
      <c r="A20" s="29" t="s">
        <v>33</v>
      </c>
      <c r="B20" s="68">
        <f>B18+B19</f>
        <v>582.99318570014827</v>
      </c>
      <c r="C20" s="68">
        <f>C18+C19</f>
        <v>874.48977855022235</v>
      </c>
      <c r="D20" s="32"/>
    </row>
    <row r="21" spans="1:6" x14ac:dyDescent="0.25">
      <c r="A21" s="29" t="s">
        <v>6</v>
      </c>
      <c r="B21" s="68">
        <f>-PMT($F$6,$F$4,B12)</f>
        <v>72.256715706933278</v>
      </c>
      <c r="C21" s="68">
        <f>-PMT($F$6,$F$4,C12)</f>
        <v>48.171143804622183</v>
      </c>
    </row>
    <row r="22" spans="1:6" x14ac:dyDescent="0.25">
      <c r="A22" s="29" t="s">
        <v>35</v>
      </c>
      <c r="B22" s="68">
        <f>B13*B14*$F$9</f>
        <v>949</v>
      </c>
      <c r="C22" s="68">
        <f>C13*C14*$F$9</f>
        <v>71.174999999999997</v>
      </c>
      <c r="D22" s="30"/>
    </row>
    <row r="23" spans="1:6" x14ac:dyDescent="0.25">
      <c r="A23" s="29" t="s">
        <v>8</v>
      </c>
      <c r="B23" s="68">
        <f>B15*$F$9*$F$8</f>
        <v>155.125</v>
      </c>
      <c r="C23" s="68">
        <f>C15*$F$9*$F$8</f>
        <v>77.5625</v>
      </c>
      <c r="D23" s="33"/>
    </row>
    <row r="24" spans="1:6" x14ac:dyDescent="0.25">
      <c r="A24" s="29" t="s">
        <v>37</v>
      </c>
      <c r="B24" s="62">
        <v>0</v>
      </c>
      <c r="C24" s="62">
        <v>0</v>
      </c>
      <c r="D24" s="33"/>
    </row>
    <row r="25" spans="1:6" x14ac:dyDescent="0.25">
      <c r="A25" s="29" t="s">
        <v>64</v>
      </c>
      <c r="B25" s="88">
        <f>B20/B26</f>
        <v>0.3313638186118788</v>
      </c>
      <c r="C25" s="90">
        <f>C20/C26</f>
        <v>0.81621342752042381</v>
      </c>
      <c r="D25" s="79" t="s">
        <v>65</v>
      </c>
      <c r="E25" s="35"/>
    </row>
    <row r="26" spans="1:6" x14ac:dyDescent="0.25">
      <c r="A26" s="34" t="s">
        <v>41</v>
      </c>
      <c r="B26" s="89">
        <f>SUM(B20:B24)</f>
        <v>1759.3749014070816</v>
      </c>
      <c r="C26" s="82">
        <f>SUM(C20:C24)</f>
        <v>1071.3984223548446</v>
      </c>
      <c r="D26" s="78">
        <f>B26-C26</f>
        <v>687.97647905223698</v>
      </c>
    </row>
    <row r="27" spans="1:6" x14ac:dyDescent="0.25">
      <c r="A27" s="34"/>
      <c r="D27" s="32"/>
    </row>
    <row r="29" spans="1:6" x14ac:dyDescent="0.25">
      <c r="A29" s="52" t="s">
        <v>55</v>
      </c>
      <c r="B29" s="37"/>
      <c r="C29" s="38"/>
      <c r="F29" s="40"/>
    </row>
    <row r="30" spans="1:6" x14ac:dyDescent="0.25">
      <c r="A30" s="53"/>
      <c r="B30" s="59" t="s">
        <v>46</v>
      </c>
      <c r="C30" s="60" t="s">
        <v>47</v>
      </c>
      <c r="F30" s="40"/>
    </row>
    <row r="31" spans="1:6" x14ac:dyDescent="0.25">
      <c r="A31" s="39" t="s">
        <v>14</v>
      </c>
      <c r="B31" s="84">
        <v>117</v>
      </c>
      <c r="C31" s="85">
        <v>200</v>
      </c>
      <c r="F31" s="40"/>
    </row>
    <row r="32" spans="1:6" x14ac:dyDescent="0.25">
      <c r="A32" s="39" t="s">
        <v>15</v>
      </c>
      <c r="B32" s="68">
        <v>190</v>
      </c>
      <c r="C32" s="62">
        <v>200</v>
      </c>
      <c r="F32" s="40"/>
    </row>
    <row r="33" spans="1:6" x14ac:dyDescent="0.25">
      <c r="A33" s="39" t="s">
        <v>54</v>
      </c>
      <c r="B33" s="68">
        <f>931-C23</f>
        <v>853.4375</v>
      </c>
      <c r="C33" s="62">
        <v>200</v>
      </c>
      <c r="F33" s="40"/>
    </row>
    <row r="34" spans="1:6" x14ac:dyDescent="0.25">
      <c r="A34" s="39" t="s">
        <v>17</v>
      </c>
      <c r="B34" s="68">
        <v>300</v>
      </c>
      <c r="C34" s="62">
        <v>200</v>
      </c>
      <c r="F34" s="40"/>
    </row>
    <row r="35" spans="1:6" x14ac:dyDescent="0.25">
      <c r="A35" s="40" t="s">
        <v>56</v>
      </c>
      <c r="B35" s="68">
        <f>3000*F6</f>
        <v>150</v>
      </c>
      <c r="C35" s="62">
        <v>200</v>
      </c>
      <c r="F35" s="40"/>
    </row>
    <row r="36" spans="1:6" x14ac:dyDescent="0.25">
      <c r="A36" s="86" t="s">
        <v>63</v>
      </c>
      <c r="B36" s="69">
        <f>SUM(B31:B35)</f>
        <v>1610.4375</v>
      </c>
      <c r="C36" s="87">
        <f>SUM(C31:C35)</f>
        <v>1000</v>
      </c>
      <c r="F36" s="40"/>
    </row>
    <row r="37" spans="1:6" x14ac:dyDescent="0.25">
      <c r="A37" s="29" t="s">
        <v>66</v>
      </c>
    </row>
    <row r="38" spans="1:6" ht="15.75" x14ac:dyDescent="0.25">
      <c r="A38" s="36"/>
      <c r="B38" s="80" t="s">
        <v>57</v>
      </c>
      <c r="C38" s="81"/>
      <c r="D38" s="40"/>
    </row>
    <row r="39" spans="1:6" x14ac:dyDescent="0.25">
      <c r="A39" s="39"/>
      <c r="B39" s="91" t="s">
        <v>58</v>
      </c>
      <c r="C39" s="92" t="s">
        <v>0</v>
      </c>
      <c r="D39" s="40"/>
    </row>
    <row r="40" spans="1:6" x14ac:dyDescent="0.25">
      <c r="A40" s="39" t="s">
        <v>48</v>
      </c>
      <c r="B40" s="42">
        <f>B26+B31+B32+B33+B34+B35</f>
        <v>3369.8124014070818</v>
      </c>
      <c r="C40" s="77">
        <f>C26+B31+B32+B33+B34+B35</f>
        <v>2681.8359223548446</v>
      </c>
      <c r="D40" s="75"/>
      <c r="E40" s="76"/>
    </row>
    <row r="41" spans="1:6" x14ac:dyDescent="0.25">
      <c r="A41" s="39" t="s">
        <v>53</v>
      </c>
      <c r="B41" s="57">
        <v>2250</v>
      </c>
      <c r="C41" s="57">
        <v>2250</v>
      </c>
      <c r="D41" s="75"/>
      <c r="E41" s="76"/>
    </row>
    <row r="42" spans="1:6" x14ac:dyDescent="0.25">
      <c r="A42" s="51" t="s">
        <v>52</v>
      </c>
      <c r="B42" s="58">
        <f>B41-B40</f>
        <v>-1119.8124014070818</v>
      </c>
      <c r="C42" s="78">
        <f>C41-C40</f>
        <v>-431.83592235484457</v>
      </c>
      <c r="D42" s="75"/>
      <c r="E42" s="76"/>
    </row>
    <row r="43" spans="1:6" x14ac:dyDescent="0.25">
      <c r="D43" s="40"/>
    </row>
    <row r="44" spans="1:6" x14ac:dyDescent="0.25">
      <c r="A44" s="40"/>
      <c r="B44" s="40"/>
      <c r="C44" s="40"/>
      <c r="D44" s="40"/>
    </row>
    <row r="45" spans="1:6" x14ac:dyDescent="0.25">
      <c r="A45" s="36"/>
      <c r="B45" s="99" t="s">
        <v>47</v>
      </c>
      <c r="C45" s="100"/>
      <c r="D45" s="40"/>
    </row>
    <row r="46" spans="1:6" x14ac:dyDescent="0.25">
      <c r="A46" s="39"/>
      <c r="B46" s="59" t="str">
        <f>B17</f>
        <v>Dybstørelse</v>
      </c>
      <c r="C46" s="73" t="str">
        <f>C17</f>
        <v>Sengebås</v>
      </c>
    </row>
    <row r="47" spans="1:6" x14ac:dyDescent="0.25">
      <c r="A47" s="39" t="s">
        <v>59</v>
      </c>
      <c r="B47" s="57">
        <f>B26+$C$31+$C$32+$C$33+$C$34+$C$35</f>
        <v>2759.3749014070818</v>
      </c>
      <c r="C47" s="74">
        <f>C26+$C$31+$C$32+$C$33+$C$34+$C$35</f>
        <v>2071.3984223548446</v>
      </c>
    </row>
    <row r="48" spans="1:6" x14ac:dyDescent="0.25">
      <c r="A48" s="39" t="s">
        <v>62</v>
      </c>
      <c r="B48" s="46"/>
      <c r="C48" s="47"/>
    </row>
    <row r="49" spans="1:3" x14ac:dyDescent="0.25">
      <c r="A49" s="43" t="s">
        <v>52</v>
      </c>
      <c r="B49" s="82">
        <f>B48-B47</f>
        <v>-2759.3749014070818</v>
      </c>
      <c r="C49" s="83">
        <f>C48-C47</f>
        <v>-2071.3984223548446</v>
      </c>
    </row>
  </sheetData>
  <mergeCells count="2">
    <mergeCell ref="B7:C7"/>
    <mergeCell ref="B45:C45"/>
  </mergeCells>
  <dataValidations xWindow="450" yWindow="710" count="2">
    <dataValidation errorStyle="information" allowBlank="1" showInputMessage="1" showErrorMessage="1" promptTitle="Kun omkostninger i dette felt " prompt="Er der tale om staldspeciffike indtægter, skal DB korrigeres i celle B39.   " sqref="B24"/>
    <dataValidation allowBlank="1" showInputMessage="1" showErrorMessage="1" promptTitle="Kun omkostninger i dette felt" prompt="Er der tale om indtægter, der er specifikke for stalde med sengebåse så korrigerer det i dit forventede dækningsbidrag i celle C39 " sqref="C24"/>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B12" sqref="B12"/>
    </sheetView>
  </sheetViews>
  <sheetFormatPr defaultRowHeight="15" x14ac:dyDescent="0.25"/>
  <cols>
    <col min="1" max="1" width="36" customWidth="1"/>
    <col min="2" max="2" width="12.85546875" customWidth="1"/>
    <col min="3" max="3" width="12.5703125" customWidth="1"/>
    <col min="4" max="4" width="11.7109375" customWidth="1"/>
    <col min="5" max="5" width="17.85546875" customWidth="1"/>
    <col min="6" max="6" width="8.140625" customWidth="1"/>
  </cols>
  <sheetData>
    <row r="1" spans="1:7" x14ac:dyDescent="0.25">
      <c r="E1" t="s">
        <v>27</v>
      </c>
      <c r="F1">
        <v>30</v>
      </c>
      <c r="G1">
        <f>F1*0.75</f>
        <v>22.5</v>
      </c>
    </row>
    <row r="2" spans="1:7" x14ac:dyDescent="0.25">
      <c r="E2" t="s">
        <v>26</v>
      </c>
      <c r="F2">
        <v>15</v>
      </c>
      <c r="G2">
        <f>0.25*F2</f>
        <v>3.75</v>
      </c>
    </row>
    <row r="3" spans="1:7" ht="12.75" customHeight="1" x14ac:dyDescent="0.25">
      <c r="E3" t="s">
        <v>28</v>
      </c>
      <c r="F3">
        <v>0.25</v>
      </c>
      <c r="G3">
        <f>G1+G2</f>
        <v>26.25</v>
      </c>
    </row>
    <row r="4" spans="1:7" ht="12.75" customHeight="1" x14ac:dyDescent="0.25">
      <c r="E4" t="s">
        <v>2</v>
      </c>
      <c r="F4" s="2">
        <v>0.05</v>
      </c>
    </row>
    <row r="5" spans="1:7" x14ac:dyDescent="0.25">
      <c r="E5" t="s">
        <v>4</v>
      </c>
      <c r="F5" s="4">
        <v>400</v>
      </c>
    </row>
    <row r="6" spans="1:7" x14ac:dyDescent="0.25">
      <c r="B6" s="101" t="s">
        <v>1</v>
      </c>
      <c r="C6" s="101"/>
      <c r="E6" t="s">
        <v>5</v>
      </c>
      <c r="F6">
        <v>170</v>
      </c>
    </row>
    <row r="7" spans="1:7" x14ac:dyDescent="0.25">
      <c r="B7" s="26" t="s">
        <v>11</v>
      </c>
      <c r="C7" s="26" t="s">
        <v>0</v>
      </c>
      <c r="E7" t="s">
        <v>7</v>
      </c>
      <c r="F7">
        <v>365</v>
      </c>
    </row>
    <row r="8" spans="1:7" x14ac:dyDescent="0.25">
      <c r="A8" t="s">
        <v>29</v>
      </c>
      <c r="B8" s="1">
        <v>8000</v>
      </c>
      <c r="C8" s="1">
        <v>12000</v>
      </c>
    </row>
    <row r="9" spans="1:7" x14ac:dyDescent="0.25">
      <c r="A9" t="s">
        <v>30</v>
      </c>
      <c r="B9" s="1">
        <f>B8-B10</f>
        <v>6000</v>
      </c>
      <c r="C9" s="1">
        <f>C8-C10</f>
        <v>9000</v>
      </c>
    </row>
    <row r="10" spans="1:7" x14ac:dyDescent="0.25">
      <c r="A10" t="s">
        <v>25</v>
      </c>
      <c r="B10" s="1">
        <f>B8*$F$3</f>
        <v>2000</v>
      </c>
      <c r="C10" s="1">
        <f>C8*$F$3</f>
        <v>3000</v>
      </c>
    </row>
    <row r="11" spans="1:7" x14ac:dyDescent="0.25">
      <c r="A11" t="s">
        <v>13</v>
      </c>
      <c r="B11">
        <v>625</v>
      </c>
      <c r="C11">
        <v>500</v>
      </c>
      <c r="D11" s="8"/>
    </row>
    <row r="12" spans="1:7" x14ac:dyDescent="0.25">
      <c r="A12" t="s">
        <v>34</v>
      </c>
      <c r="B12">
        <v>3</v>
      </c>
      <c r="C12">
        <v>0.3</v>
      </c>
    </row>
    <row r="13" spans="1:7" x14ac:dyDescent="0.25">
      <c r="A13" t="s">
        <v>3</v>
      </c>
      <c r="B13">
        <v>0.3</v>
      </c>
      <c r="C13">
        <f>B13</f>
        <v>0.3</v>
      </c>
    </row>
    <row r="14" spans="1:7" x14ac:dyDescent="0.25">
      <c r="A14" t="s">
        <v>24</v>
      </c>
      <c r="B14">
        <v>0.65</v>
      </c>
      <c r="C14">
        <v>0.5</v>
      </c>
    </row>
    <row r="15" spans="1:7" x14ac:dyDescent="0.25">
      <c r="A15" t="s">
        <v>12</v>
      </c>
      <c r="B15" s="28">
        <f>B14/400</f>
        <v>1.6250000000000001E-3</v>
      </c>
      <c r="C15" s="28">
        <f>C14/F5</f>
        <v>1.25E-3</v>
      </c>
    </row>
    <row r="16" spans="1:7" x14ac:dyDescent="0.25">
      <c r="B16" s="3" t="s">
        <v>10</v>
      </c>
    </row>
    <row r="17" spans="1:6" x14ac:dyDescent="0.25">
      <c r="B17" s="26" t="str">
        <f>B7</f>
        <v>Dybststørelse</v>
      </c>
      <c r="C17" s="26" t="str">
        <f>C7</f>
        <v>Sengebås</v>
      </c>
    </row>
    <row r="18" spans="1:6" x14ac:dyDescent="0.25">
      <c r="A18" t="s">
        <v>32</v>
      </c>
      <c r="B18" s="25">
        <f>-PMT($F$4,$F$1,B9)</f>
        <v>390.30861048165951</v>
      </c>
      <c r="C18" s="25">
        <f>-PMT($F$4,$F$1,C9)</f>
        <v>585.46291572248924</v>
      </c>
    </row>
    <row r="19" spans="1:6" x14ac:dyDescent="0.25">
      <c r="A19" t="s">
        <v>31</v>
      </c>
      <c r="B19" s="5">
        <f>-PMT($F$4,$F$2,B10)</f>
        <v>192.68457521848873</v>
      </c>
      <c r="C19" s="5">
        <f>-PMT($F$4,$F$2,C10)</f>
        <v>289.02686282773311</v>
      </c>
    </row>
    <row r="20" spans="1:6" x14ac:dyDescent="0.25">
      <c r="A20" t="s">
        <v>33</v>
      </c>
      <c r="B20" s="5">
        <f>B18+B19</f>
        <v>582.99318570014827</v>
      </c>
      <c r="C20" s="5">
        <f>C18+C19</f>
        <v>874.48977855022235</v>
      </c>
    </row>
    <row r="21" spans="1:6" x14ac:dyDescent="0.25">
      <c r="A21" t="s">
        <v>6</v>
      </c>
      <c r="B21" s="5">
        <f>-PMT($F$4,$F$2,B11)</f>
        <v>60.213929755777727</v>
      </c>
      <c r="C21" s="5">
        <f>-PMT($F$4,$F$2,C11)</f>
        <v>48.171143804622183</v>
      </c>
    </row>
    <row r="22" spans="1:6" x14ac:dyDescent="0.25">
      <c r="A22" t="s">
        <v>35</v>
      </c>
      <c r="B22" s="6">
        <f>B12*B13*$F$7</f>
        <v>328.49999999999994</v>
      </c>
      <c r="C22" s="6">
        <f>C12*C13*$F$7</f>
        <v>32.85</v>
      </c>
      <c r="D22" s="27"/>
    </row>
    <row r="23" spans="1:6" x14ac:dyDescent="0.25">
      <c r="A23" t="s">
        <v>8</v>
      </c>
      <c r="B23" s="6">
        <f>B15*$F$7*$F$6</f>
        <v>100.83125</v>
      </c>
      <c r="C23" s="6">
        <f>C15*$F$7*$F$6</f>
        <v>77.5625</v>
      </c>
      <c r="D23" s="7"/>
    </row>
    <row r="24" spans="1:6" x14ac:dyDescent="0.25">
      <c r="D24" s="7"/>
    </row>
    <row r="25" spans="1:6" x14ac:dyDescent="0.25">
      <c r="A25" t="s">
        <v>23</v>
      </c>
      <c r="B25" s="2">
        <f>SUM(B18:B21)/B26</f>
        <v>1.1432694070900002</v>
      </c>
      <c r="C25" s="2">
        <f>SUM(C18:C21)/C26</f>
        <v>1.7396156575285255</v>
      </c>
    </row>
    <row r="26" spans="1:6" x14ac:dyDescent="0.25">
      <c r="A26" s="9" t="s">
        <v>9</v>
      </c>
      <c r="B26" s="21">
        <f>SUM(B20:B23)</f>
        <v>1072.5383654559259</v>
      </c>
      <c r="C26" s="21">
        <f>SUM(C20:C23)</f>
        <v>1033.0734223548445</v>
      </c>
      <c r="D26" s="5">
        <f>B26-C26</f>
        <v>39.464943101081417</v>
      </c>
    </row>
    <row r="27" spans="1:6" x14ac:dyDescent="0.25">
      <c r="A27" s="9" t="s">
        <v>36</v>
      </c>
      <c r="B27" s="24">
        <f>B26/B35</f>
        <v>0.42752314241436939</v>
      </c>
      <c r="C27" s="24">
        <f>C26/C35</f>
        <v>0.41837353557988516</v>
      </c>
    </row>
    <row r="28" spans="1:6" x14ac:dyDescent="0.25">
      <c r="A28" s="9" t="s">
        <v>22</v>
      </c>
    </row>
    <row r="29" spans="1:6" x14ac:dyDescent="0.25">
      <c r="A29" s="10" t="s">
        <v>14</v>
      </c>
      <c r="B29" s="22">
        <f>107*1.25</f>
        <v>133.75</v>
      </c>
      <c r="C29" s="22">
        <f>107*1.25</f>
        <v>133.75</v>
      </c>
      <c r="D29" s="11" t="s">
        <v>18</v>
      </c>
      <c r="E29" s="11"/>
      <c r="F29" s="12"/>
    </row>
    <row r="30" spans="1:6" x14ac:dyDescent="0.25">
      <c r="A30" s="13" t="s">
        <v>15</v>
      </c>
      <c r="B30" s="23">
        <v>200</v>
      </c>
      <c r="C30" s="23">
        <v>200</v>
      </c>
      <c r="D30" s="14" t="s">
        <v>18</v>
      </c>
      <c r="E30" s="14"/>
      <c r="F30" s="15"/>
    </row>
    <row r="31" spans="1:6" x14ac:dyDescent="0.25">
      <c r="A31" s="13" t="s">
        <v>16</v>
      </c>
      <c r="B31" s="23">
        <f>800-C23</f>
        <v>722.4375</v>
      </c>
      <c r="C31" s="23">
        <f>800-C23</f>
        <v>722.4375</v>
      </c>
      <c r="D31" s="14" t="s">
        <v>18</v>
      </c>
      <c r="E31" s="14"/>
      <c r="F31" s="15"/>
    </row>
    <row r="32" spans="1:6" x14ac:dyDescent="0.25">
      <c r="A32" s="13" t="s">
        <v>17</v>
      </c>
      <c r="B32" s="23">
        <v>230</v>
      </c>
      <c r="C32" s="23">
        <v>230</v>
      </c>
      <c r="D32" s="14" t="s">
        <v>18</v>
      </c>
      <c r="E32" s="14"/>
      <c r="F32" s="15"/>
    </row>
    <row r="33" spans="1:6" x14ac:dyDescent="0.25">
      <c r="A33" s="13" t="s">
        <v>20</v>
      </c>
      <c r="B33" s="23">
        <f>3000*F4</f>
        <v>150</v>
      </c>
      <c r="C33" s="23">
        <f>3000*F4</f>
        <v>150</v>
      </c>
      <c r="D33" s="14" t="s">
        <v>18</v>
      </c>
      <c r="E33" s="14"/>
      <c r="F33" s="15"/>
    </row>
    <row r="34" spans="1:6" x14ac:dyDescent="0.25">
      <c r="A34" s="13"/>
      <c r="B34" s="14"/>
      <c r="C34" s="14"/>
      <c r="D34" s="14"/>
      <c r="E34" s="14"/>
      <c r="F34" s="15"/>
    </row>
    <row r="35" spans="1:6" x14ac:dyDescent="0.25">
      <c r="A35" s="13" t="s">
        <v>19</v>
      </c>
      <c r="B35" s="20">
        <f>B26+B29+B30+B31+B32+B33</f>
        <v>2508.7258654559259</v>
      </c>
      <c r="C35" s="20">
        <f>C26+C29+C30+C31+C32+C33</f>
        <v>2469.2609223548443</v>
      </c>
      <c r="D35" s="14"/>
      <c r="E35" s="14"/>
      <c r="F35" s="15"/>
    </row>
    <row r="36" spans="1:6" x14ac:dyDescent="0.25">
      <c r="A36" s="13"/>
      <c r="B36" s="14"/>
      <c r="C36" s="14"/>
      <c r="D36" s="14"/>
      <c r="E36" s="14"/>
      <c r="F36" s="15"/>
    </row>
    <row r="37" spans="1:6" x14ac:dyDescent="0.25">
      <c r="A37" s="16" t="s">
        <v>21</v>
      </c>
      <c r="B37" s="17">
        <v>2400</v>
      </c>
      <c r="C37" s="17">
        <v>2400</v>
      </c>
      <c r="D37" s="18" t="s">
        <v>18</v>
      </c>
      <c r="E37" s="18"/>
      <c r="F37" s="19"/>
    </row>
  </sheetData>
  <mergeCells count="1">
    <mergeCell ref="B6:C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E2611123B3BDF547BD0102117E3FE21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056b68e019c44f31bbb47d6b62243446">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2013-01-30T23:00:00+00:00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Jannik Toft Andersen (lcjta)</DisplayName>
        <AccountId>16211</AccountId>
        <AccountType/>
      </UserInfo>
    </PublishingContact>
    <PublishingContactName xmlns="http://schemas.microsoft.com/sharepoint/v3" xsi:nil="true"/>
    <Comments xmlns="http://schemas.microsoft.com/sharepoint/v3">Bilag til KvægInfo nr. 2219</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D508A29BCE582F4D93B50AE01C294B2C" ma:contentTypeVersion="81" ma:contentTypeDescription="Den primære contenttype der anvendes på Landbrugsinfo" ma:contentTypeScope="" ma:versionID="adc642c31e4e40eea6c6a5a06b8b9ac0">
  <xsd:schema xmlns:xsd="http://www.w3.org/2001/XMLSchema" xmlns:xs="http://www.w3.org/2001/XMLSchema" xmlns:p="http://schemas.microsoft.com/office/2006/metadata/properties" xmlns:ns1="http://schemas.microsoft.com/sharepoint/v3" xmlns:ns2="48beab42-d6fc-42e6-bd31-ea13ee38c610" xmlns:ns3="5aa14257-579e-4a1f-bbbb-3c8dd7393476" xmlns:ns4="303eeafb-7dff-46db-9396-e9c651f530ea" xmlns:ns5="d5147374-2a2e-4831-a867-c06add8c6b4e" targetNamespace="http://schemas.microsoft.com/office/2006/metadata/properties" ma:root="true" ma:fieldsID="1443c3f8ecb0df34fcf9e8c23e927522" ns1:_="" ns2:_="" ns3:_="" ns4:_="" ns5:_="">
    <xsd:import namespace="http://schemas.microsoft.com/sharepoint/v3"/>
    <xsd:import namespace="48beab42-d6fc-42e6-bd31-ea13ee38c610"/>
    <xsd:import namespace="5aa14257-579e-4a1f-bbbb-3c8dd7393476"/>
    <xsd:import namespace="303eeafb-7dff-46db-9396-e9c651f530ea"/>
    <xsd:import namespace="d5147374-2a2e-4831-a867-c06add8c6b4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AllowComments"/>
                <xsd:element ref="ns2:DisplayComments"/>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5:TaksonomiTaxHTField0" minOccurs="0"/>
                <xsd:element ref="ns4:TaxCatchAll" minOccurs="0"/>
                <xsd:element ref="ns4:TaxCatchAllLabel" minOccurs="0"/>
                <xsd:element ref="ns5:Bevillingsgivere" minOccurs="0"/>
                <xsd:element ref="ns5: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internalName="PublishingVariationGroupID">
      <xsd:simpleType>
        <xsd:restriction base="dms:Text">
          <xsd:maxLength value="255"/>
        </xsd:restriction>
      </xsd:simpleType>
    </xsd:element>
    <xsd:element name="PublishingVariationRelationshipLinkFieldID" ma:index="17" nillable="true" ma:displayName="Relationshyperlink for variation"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beab42-d6fc-42e6-bd31-ea13ee38c610"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8" ma:displayName="Arkiveringsdato" ma:format="DateOnly" ma:internalName="Arkiveringsdato">
      <xsd:simpleType>
        <xsd:restriction base="dms:DateTime"/>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element name="Projekter" ma:index="52" nillable="true" ma:displayName="Projekter" ma:list="{ecf07d35-95fb-4bda-ad72-e46544058ec2}" ma:internalName="Projekter" ma:showField="LinkTitleNoMenu" ma:web="303eeafb-7dff-46db-9396-e9c651f530ea">
      <xsd:simpleType>
        <xsd:restriction base="dms:Unknown"/>
      </xsd:simpleType>
    </xsd:element>
    <xsd:element name="WebInfoSubjects" ma:index="53"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4" nillable="true" ma:displayName="HitCount (system)" ma:decimals="0" ma:default="0" ma:description="Antal gange et dokument er set af en bruger" ma:internalName="HitCount" ma:readOnly="false">
      <xsd:simpleType>
        <xsd:restriction base="dms:Number"/>
      </xsd:simpleType>
    </xsd:element>
    <xsd:element name="AllowComments" ma:index="55" ma:displayName="Tillad nye kommentarer" ma:default="1" ma:internalName="AllowComments">
      <xsd:simpleType>
        <xsd:restriction base="dms:Boolean"/>
      </xsd:simpleType>
    </xsd:element>
    <xsd:element name="DisplayComments" ma:index="56" ma:displayName="Vis kommentarer" ma:default="1" ma:internalName="DisplayComments">
      <xsd:simpleType>
        <xsd:restriction base="dms:Boolean"/>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8" nillable="true" ma:displayName="Tilvalg" ma:description="Mulighed for et antal tilvalg gemt i et samlet felt." ma:internalName="WebInfoMultiSelec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147374-2a2e-4831-a867-c06add8c6b4e" elementFormDefault="qualified">
    <xsd:import namespace="http://schemas.microsoft.com/office/2006/documentManagement/types"/>
    <xsd:import namespace="http://schemas.microsoft.com/office/infopath/2007/PartnerControls"/>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D93560-0049-4E90-B767-580149FA1D5C}"/>
</file>

<file path=customXml/itemProps2.xml><?xml version="1.0" encoding="utf-8"?>
<ds:datastoreItem xmlns:ds="http://schemas.openxmlformats.org/officeDocument/2006/customXml" ds:itemID="{FEADE6D1-8390-4709-BDC2-0135C9E8A210}"/>
</file>

<file path=customXml/itemProps3.xml><?xml version="1.0" encoding="utf-8"?>
<ds:datastoreItem xmlns:ds="http://schemas.openxmlformats.org/officeDocument/2006/customXml" ds:itemID="{52155DB6-E355-48F1-9990-7A18056BF153}"/>
</file>

<file path=customXml/itemProps4.xml><?xml version="1.0" encoding="utf-8"?>
<ds:datastoreItem xmlns:ds="http://schemas.openxmlformats.org/officeDocument/2006/customXml" ds:itemID="{A96530EF-516F-4749-9731-AE36C19AD5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2013-tal</vt:lpstr>
      <vt:lpstr> 2011-tal</vt:lpstr>
      <vt:lpstr>dybstrøelse sengebås (2)</vt: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Regneark - dybstrøelse eller sengebåse</dc:title>
  <dc:creator>Jannik Toft Andersen</dc:creator>
  <cp:lastModifiedBy>Merete Martin Jensen</cp:lastModifiedBy>
  <dcterms:created xsi:type="dcterms:W3CDTF">2011-06-20T10:01:25Z</dcterms:created>
  <dcterms:modified xsi:type="dcterms:W3CDTF">2013-01-31T08:34:00Z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0x010100C568DB52D9D0A14D9B2FDCC96666E9F2007948130EC3DB064584E219954237AF3900242457EFB8B24247815D688C526CD44D00E2611123B3BDF547BD0102117E3FE213</vt:lpwstr>
  </property>
  <property fmtid="{D5CDD505-2E9C-101B-9397-08002B2CF9AE}" pid="3" name="_dlc_DocIdItemGuid">
    <vt:lpwstr>e8d178c3-68fb-43f1-aad9-896d55f11349</vt:lpwstr>
  </property>
  <property fmtid="{D5CDD505-2E9C-101B-9397-08002B2CF9AE}" pid="4" name="HideInRollups">
    <vt:bool>true</vt:bool>
  </property>
  <property fmtid="{D5CDD505-2E9C-101B-9397-08002B2CF9AE}" pid="5" name="Revisionsdato">
    <vt:filetime>2013-01-31T07:34:00Z</vt:filetime>
  </property>
  <property fmtid="{D5CDD505-2E9C-101B-9397-08002B2CF9AE}" pid="6" name="WebInfo_FinansieringsLink">
    <vt:lpwstr>e8d178c3-68fb-43f1-aad9-896d55f11349</vt:lpwstr>
  </property>
  <property fmtid="{D5CDD505-2E9C-101B-9397-08002B2CF9AE}" pid="7" name="EnclosureFor">
    <vt:lpwstr/>
  </property>
  <property fmtid="{D5CDD505-2E9C-101B-9397-08002B2CF9AE}" pid="8" name="KnowledgeArticle">
    <vt:bool>false</vt:bool>
  </property>
</Properties>
</file>